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tente\Desktop\"/>
    </mc:Choice>
  </mc:AlternateContent>
  <workbookProtection workbookAlgorithmName="SHA-512" workbookHashValue="d4v7ydjOsC+ybERHVoZnj1rDYRhJmyjms8M9biNqJE05WE/wXG7101hIuBKVhGv4fhRnEeU/1HWDNTAgUmUY3g==" workbookSaltValue="LcGqL+3m5ihhKEGskEXx6A==" workbookSpinCount="100000" lockStructure="1"/>
  <bookViews>
    <workbookView xWindow="0" yWindow="0" windowWidth="28800" windowHeight="12330" tabRatio="673" activeTab="1"/>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B29" i="8" s="1"/>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F31" i="8"/>
  <c r="AE31" i="8"/>
  <c r="W31" i="8"/>
  <c r="AT30" i="8"/>
  <c r="AS30" i="8"/>
  <c r="AR30" i="8"/>
  <c r="AP30" i="8"/>
  <c r="AN30" i="8"/>
  <c r="AM30" i="8"/>
  <c r="W30" i="8"/>
  <c r="A30" i="8"/>
  <c r="AI29" i="8"/>
  <c r="AH29" i="8"/>
  <c r="AG29" i="8"/>
  <c r="AF29" i="8"/>
  <c r="AE29" i="8"/>
  <c r="AE36" i="8" s="1"/>
  <c r="AA29" i="8"/>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A3" i="8" l="1"/>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H29" i="8" s="1"/>
  <c r="H42" i="7" s="1"/>
  <c r="AG36" i="8"/>
  <c r="AE7" i="8"/>
  <c r="AE8" i="8"/>
  <c r="AE9" i="8"/>
  <c r="AF10" i="8"/>
  <c r="C16" i="8"/>
  <c r="C41" i="7" s="1"/>
  <c r="AE19" i="8"/>
  <c r="AE20" i="8"/>
  <c r="AF21" i="8"/>
  <c r="AE23" i="8"/>
  <c r="AE34" i="8"/>
  <c r="AH36" i="8"/>
  <c r="C3" i="8"/>
  <c r="C40" i="7" s="1"/>
  <c r="D3" i="8"/>
  <c r="D40" i="7" s="1"/>
  <c r="AF8" i="8"/>
  <c r="D16" i="8"/>
  <c r="D41" i="7" s="1"/>
  <c r="AE32" i="8"/>
  <c r="AE33" i="8"/>
  <c r="AF34" i="8"/>
  <c r="Z3" i="8" l="1"/>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N41" i="2" l="1"/>
  <c r="BT61" i="2"/>
  <c r="CV61" i="2" s="1"/>
  <c r="W74" i="2"/>
  <c r="Y78" i="2"/>
  <c r="BG3" i="2"/>
  <c r="AR4" i="2"/>
  <c r="AT4" i="2" s="1"/>
  <c r="CK63" i="2"/>
  <c r="CK62" i="2" s="1"/>
  <c r="CK126"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AT17" i="2" s="1"/>
  <c r="W70" i="2"/>
  <c r="AR5" i="2"/>
  <c r="AT5" i="2" s="1"/>
  <c r="AR13" i="2"/>
  <c r="AT13" i="2" s="1"/>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BH6" i="2"/>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AB22" i="2" s="1"/>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AT10" i="2" s="1"/>
  <c r="BH12" i="2"/>
  <c r="BG15" i="2"/>
  <c r="CG63" i="2"/>
  <c r="CG62" i="2" s="1"/>
  <c r="CG106" i="2" s="1"/>
  <c r="Z66" i="2"/>
  <c r="X69" i="2"/>
  <c r="Z71" i="2"/>
  <c r="Y75" i="2"/>
  <c r="W80" i="2"/>
  <c r="BG6" i="2"/>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AN46" i="7" l="1"/>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BI50" i="2"/>
  <c r="AK6" i="2" s="1"/>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B65" i="7" l="1"/>
  <c r="V6" i="8"/>
  <c r="V7" i="8"/>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13" i="2"/>
  <c r="AV13" i="2"/>
  <c r="O13" i="2" s="1"/>
  <c r="AW3" i="2"/>
  <c r="AV3" i="2"/>
  <c r="O3" i="2" s="1"/>
  <c r="AV10" i="2"/>
  <c r="O10" i="2" s="1"/>
  <c r="AW10" i="2"/>
  <c r="AV17" i="2"/>
  <c r="AW17" i="2"/>
  <c r="BF16" i="2"/>
  <c r="AV12" i="2"/>
  <c r="O12" i="2" s="1"/>
  <c r="AW12" i="2"/>
  <c r="AV4" i="2"/>
  <c r="O4" i="2" s="1"/>
  <c r="AW4" i="2"/>
  <c r="BF14" i="2"/>
  <c r="AV8" i="2"/>
  <c r="O8" i="2" s="1"/>
  <c r="AW8" i="2"/>
  <c r="AW11" i="2"/>
  <c r="AV11" i="2"/>
  <c r="O11" i="2" s="1"/>
  <c r="BF7" i="2"/>
  <c r="AI83" i="2"/>
  <c r="AW7" i="2"/>
  <c r="AV7" i="2"/>
  <c r="O7" i="2" s="1"/>
  <c r="I6" i="8" l="1"/>
  <c r="AD12" i="8" s="1"/>
  <c r="W12" i="8" s="1"/>
  <c r="S3" i="8" s="1"/>
  <c r="J40" i="7" s="1"/>
  <c r="Z41" i="2"/>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S63" i="5"/>
  <c r="S63" i="4"/>
  <c r="AH39" i="4"/>
  <c r="AH39" i="5"/>
  <c r="AH15" i="4"/>
  <c r="AH15" i="5"/>
  <c r="D87" i="5"/>
  <c r="D87" i="4"/>
  <c r="D39" i="5"/>
  <c r="D39" i="4"/>
  <c r="AW39" i="4"/>
  <c r="AW39" i="5"/>
  <c r="AW63" i="4"/>
  <c r="AW63" i="5"/>
  <c r="AW5" i="2"/>
  <c r="AW16" i="2"/>
  <c r="AV16" i="2"/>
  <c r="AV9" i="2"/>
  <c r="O9" i="2" s="1"/>
  <c r="AW9" i="2"/>
  <c r="AV14" i="2"/>
  <c r="O14" i="2" s="1"/>
  <c r="AW14" i="2"/>
  <c r="AK2" i="2" l="1"/>
  <c r="J28" i="2"/>
  <c r="B73" i="2" s="1"/>
  <c r="AG40" i="2"/>
  <c r="AN2" i="2"/>
  <c r="J26" i="2" s="1"/>
  <c r="AQ2"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Q23" i="4" l="1"/>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C4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<sst xmlns="http://schemas.openxmlformats.org/spreadsheetml/2006/main" count="3827" uniqueCount="1389">
  <si>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</si>
  <si>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</si>
  <si>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</si>
  <si>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</si>
  <si>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</si>
  <si>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</si>
  <si>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</si>
  <si>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</si>
  <si>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</si>
  <si>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</si>
  <si>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</si>
  <si>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</si>
  <si>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</si>
  <si>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</si>
  <si>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</si>
  <si>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</si>
  <si>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</si>
  <si>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</si>
  <si>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</si>
  <si>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</si>
  <si>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</si>
  <si>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</si>
  <si>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</si>
  <si>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</si>
  <si>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</si>
  <si>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</si>
  <si>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</si>
  <si>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</si>
  <si>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</si>
  <si>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</si>
  <si>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</si>
  <si>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</si>
  <si>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</si>
  <si>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</si>
  <si>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</si>
  <si>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</si>
  <si>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</si>
  <si>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</si>
  <si>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</si>
  <si>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</si>
  <si>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</si>
  <si>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</si>
  <si>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</si>
  <si>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</si>
  <si>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</si>
  <si>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</si>
  <si>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</si>
  <si>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</si>
  <si>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</si>
  <si>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</si>
  <si>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</si>
  <si>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</si>
  <si>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</si>
  <si>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</si>
  <si>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</si>
  <si>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</si>
  <si>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</si>
  <si>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</si>
  <si>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</si>
  <si>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</si>
  <si>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</si>
  <si>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</si>
  <si>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</si>
  <si>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</si>
  <si>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</si>
  <si>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</si>
  <si>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</si>
  <si>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</si>
  <si>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</si>
  <si>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</si>
  <si>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</si>
  <si>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</si>
  <si>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</si>
  <si>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</si>
  <si>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</si>
  <si>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</si>
  <si>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</si>
  <si>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</si>
  <si>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</si>
  <si>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</si>
  <si>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</si>
  <si>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</si>
  <si>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</si>
  <si>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</si>
  <si>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</si>
  <si>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</si>
  <si>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</si>
  <si>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</si>
  <si>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</si>
  <si>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</si>
  <si>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</si>
  <si>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</si>
  <si>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</si>
  <si>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</si>
  <si>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</si>
  <si>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</si>
  <si>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</si>
  <si>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</si>
  <si>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</si>
  <si>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</si>
  <si>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</si>
  <si>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</si>
  <si>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</si>
  <si>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</si>
  <si>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</si>
  <si>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</si>
  <si>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</si>
  <si>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</si>
  <si>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</si>
  <si>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</si>
  <si>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</si>
  <si>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</si>
  <si>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</si>
  <si>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</si>
  <si>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</si>
  <si>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</si>
  <si>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</si>
  <si>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</si>
  <si>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</si>
  <si>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</si>
  <si>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</si>
  <si>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</si>
  <si>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</si>
  <si>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</si>
  <si>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</si>
  <si>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</si>
  <si>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</si>
  <si>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</si>
  <si>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</si>
  <si>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</si>
  <si>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</si>
  <si>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</si>
  <si>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</si>
  <si>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</si>
  <si>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</si>
  <si>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</si>
  <si>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</si>
  <si>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</si>
  <si>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</si>
  <si>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</si>
  <si>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</si>
  <si>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</si>
  <si>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</si>
  <si>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</si>
  <si>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</si>
  <si>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</si>
  <si>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</si>
  <si>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</si>
  <si>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</si>
  <si>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</si>
  <si>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</si>
  <si>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</si>
  <si>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</si>
  <si>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</si>
  <si>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</si>
  <si>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</si>
  <si>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</si>
  <si>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</si>
  <si>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</si>
  <si>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</si>
  <si>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</si>
  <si>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</si>
  <si>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</si>
  <si>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</si>
  <si>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</si>
  <si>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</si>
  <si>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</si>
  <si>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</si>
  <si>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</si>
  <si>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</si>
  <si>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</si>
  <si>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</si>
  <si>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</si>
  <si>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</si>
  <si>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</si>
  <si>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</si>
  <si>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</si>
  <si>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</si>
  <si>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</si>
  <si>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</si>
  <si>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</si>
  <si>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</si>
  <si>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</si>
  <si>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</si>
  <si>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</si>
  <si>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</si>
  <si>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</si>
  <si>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</si>
  <si>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</si>
  <si>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</si>
  <si>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</si>
  <si>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</si>
  <si>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</si>
  <si>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</si>
  <si>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</si>
  <si>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</si>
  <si>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</si>
  <si>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</si>
  <si>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</si>
  <si>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</si>
  <si>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</si>
  <si>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</si>
  <si>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</si>
  <si>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</si>
  <si>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</si>
  <si>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</si>
  <si>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</si>
  <si>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</si>
  <si>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</si>
  <si>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</si>
  <si>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</si>
  <si>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</si>
  <si>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</si>
  <si>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</si>
  <si>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</si>
  <si>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</si>
  <si>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</si>
  <si>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</si>
  <si>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</si>
  <si>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</si>
  <si>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</si>
  <si>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</si>
  <si>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</si>
  <si>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</si>
  <si>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</si>
  <si>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</si>
  <si>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</si>
  <si>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</si>
  <si>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</si>
  <si>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</si>
  <si>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</si>
  <si>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</si>
  <si>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</si>
  <si>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</si>
  <si>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</si>
  <si>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</si>
  <si>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</si>
  <si>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</si>
  <si>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</si>
  <si>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</si>
  <si>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</si>
  <si>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</si>
  <si>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</si>
  <si>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</si>
  <si>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</si>
  <si>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</si>
  <si>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</si>
  <si>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</si>
  <si>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</si>
  <si>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</si>
  <si>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</si>
  <si>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</si>
  <si>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</si>
  <si>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</si>
  <si>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</si>
  <si>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</si>
  <si>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</si>
  <si>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</si>
  <si>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</si>
  <si>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</si>
  <si>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</si>
  <si>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</si>
  <si>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</si>
  <si>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</si>
  <si>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</si>
  <si>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</si>
  <si>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</si>
  <si>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</si>
  <si>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</si>
  <si>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</si>
  <si>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</si>
  <si>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</si>
  <si>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</si>
  <si>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</si>
  <si>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</si>
  <si>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</si>
  <si>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</si>
  <si>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</si>
  <si>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</si>
  <si>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</si>
  <si>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</si>
  <si>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</si>
  <si>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</si>
  <si>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</si>
  <si>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</si>
  <si>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</si>
  <si>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</si>
  <si>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</si>
  <si>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</si>
  <si>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</si>
  <si>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</si>
  <si>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</si>
  <si>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</si>
  <si>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</si>
  <si>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</si>
  <si>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</si>
  <si>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</si>
  <si>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</si>
  <si>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</si>
  <si>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</si>
  <si>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</si>
  <si>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</si>
  <si>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</si>
  <si>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</si>
  <si>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</si>
  <si>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</si>
  <si>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</si>
  <si>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</si>
  <si>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</si>
  <si>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</si>
  <si>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</si>
  <si>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</si>
  <si>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</si>
  <si>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</si>
  <si>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</si>
  <si>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</si>
  <si>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</si>
  <si>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</si>
  <si>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</si>
  <si>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</si>
  <si>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</si>
  <si>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</si>
  <si>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</si>
  <si>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</si>
  <si>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</si>
  <si>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</si>
  <si>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</si>
  <si>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</si>
  <si>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</si>
  <si>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</si>
  <si>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</si>
  <si>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</si>
  <si>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</si>
  <si>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</si>
  <si>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</si>
  <si>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</si>
  <si>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</si>
  <si>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</si>
  <si>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</si>
  <si>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</si>
  <si>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</si>
  <si>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</si>
  <si>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</si>
  <si>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</si>
  <si>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</si>
  <si>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</si>
  <si>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</si>
  <si>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</si>
  <si>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</si>
  <si>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</si>
  <si>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</si>
  <si>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</si>
  <si>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</si>
  <si>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</si>
  <si>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</si>
  <si>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</si>
  <si>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</si>
  <si>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</si>
  <si>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</si>
  <si>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</si>
  <si>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</si>
  <si>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</si>
  <si>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</si>
  <si>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</si>
  <si>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</si>
  <si>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</si>
  <si>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</si>
  <si>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</si>
  <si>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</si>
  <si>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</si>
  <si>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</si>
  <si>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</si>
  <si>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</si>
  <si>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</si>
  <si>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</si>
  <si>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</si>
  <si>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</si>
  <si>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</si>
  <si>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</si>
  <si>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</si>
  <si>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</si>
  <si>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</si>
  <si>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</si>
  <si>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</si>
  <si>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</si>
  <si>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</si>
  <si>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</si>
  <si>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</si>
  <si>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</si>
  <si>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</si>
  <si>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</si>
  <si>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</si>
  <si>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</si>
  <si>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</si>
  <si>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</si>
  <si>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</si>
  <si>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</si>
  <si>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</si>
  <si>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</si>
  <si>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</si>
  <si>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</si>
  <si>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</si>
  <si>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</si>
  <si>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</si>
  <si>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</si>
  <si>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</si>
  <si>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</si>
  <si>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</si>
  <si>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</si>
  <si>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</si>
  <si>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</si>
  <si>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</si>
  <si>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</si>
  <si>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</si>
  <si>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</si>
  <si>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</si>
  <si>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</si>
  <si>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</si>
  <si>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</si>
  <si>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</si>
  <si>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</si>
  <si>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</si>
  <si>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</si>
  <si>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</si>
  <si>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</si>
  <si>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</si>
  <si>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</si>
  <si>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</si>
  <si>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</si>
  <si>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</si>
  <si>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</si>
  <si>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</si>
  <si>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</si>
  <si>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</si>
  <si>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</si>
  <si>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</si>
  <si>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</si>
  <si>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</si>
  <si>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</si>
  <si>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</si>
  <si>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</si>
  <si>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</si>
  <si>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</si>
  <si>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</si>
  <si>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</si>
  <si>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</si>
  <si>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</si>
  <si>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</si>
  <si>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</si>
  <si>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</si>
  <si>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</si>
  <si>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</si>
  <si>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</si>
  <si>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</si>
  <si>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</si>
  <si>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</si>
  <si>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</si>
  <si>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</si>
  <si>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</si>
  <si>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</si>
  <si>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</si>
  <si>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</si>
  <si>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</si>
  <si>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</si>
  <si>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</si>
  <si>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</si>
  <si>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</si>
  <si>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</si>
  <si>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</si>
  <si>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</si>
  <si>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</si>
  <si>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</si>
  <si>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</si>
  <si>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</si>
  <si>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</si>
  <si>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</si>
  <si>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</si>
  <si>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</si>
  <si>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</si>
  <si>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</si>
  <si>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</si>
  <si>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</si>
  <si>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</si>
  <si>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</si>
  <si>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</si>
  <si>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</si>
  <si>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</si>
  <si>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</si>
  <si>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</si>
  <si>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</si>
  <si>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</si>
  <si>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</si>
  <si>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</si>
  <si>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</si>
  <si>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</si>
  <si>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</si>
  <si>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</si>
  <si>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</si>
  <si>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</si>
  <si>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</si>
  <si>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</si>
  <si>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</si>
  <si>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</si>
  <si>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</si>
  <si>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</si>
  <si>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</si>
  <si>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</si>
  <si>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</si>
  <si>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</si>
  <si>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</si>
  <si>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</si>
  <si>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</si>
  <si>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</si>
  <si>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</si>
  <si>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</si>
  <si>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</si>
  <si>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</si>
  <si>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</si>
  <si>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</si>
  <si>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</si>
  <si>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</si>
  <si>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</si>
  <si>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</si>
  <si>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</si>
  <si>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</si>
  <si>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</si>
  <si>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</si>
  <si>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</si>
  <si>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</si>
  <si>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</si>
  <si>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</si>
  <si>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</si>
  <si>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</si>
  <si>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</si>
  <si>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</si>
  <si>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</si>
  <si>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</si>
  <si>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</si>
  <si>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</si>
  <si>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</si>
  <si>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</si>
  <si>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</si>
  <si>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</si>
  <si>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</si>
  <si>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</si>
  <si>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</si>
  <si>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</si>
  <si>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</si>
  <si>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</si>
  <si>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</si>
  <si>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</si>
  <si>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</si>
  <si>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</si>
  <si>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</si>
  <si>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</si>
  <si>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</si>
  <si>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</si>
  <si>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</si>
  <si>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</si>
  <si>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</si>
  <si>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</si>
  <si>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</si>
  <si>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</si>
  <si>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</si>
  <si>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</si>
  <si>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</si>
  <si>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</si>
  <si>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</si>
  <si>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</si>
  <si>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</si>
  <si>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</si>
  <si>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</si>
  <si>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</si>
  <si>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</si>
  <si>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</si>
  <si>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</si>
  <si>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</si>
  <si>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</si>
  <si>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</si>
  <si>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</si>
  <si>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</si>
  <si>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</si>
  <si>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</si>
  <si>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</si>
  <si>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</si>
  <si>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</si>
  <si>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</si>
  <si>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</si>
  <si>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</si>
  <si>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</si>
  <si>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</si>
  <si>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</si>
  <si>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</si>
  <si>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</si>
  <si>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</si>
  <si>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</si>
  <si>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</si>
  <si>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</si>
  <si>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</si>
  <si>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</si>
  <si>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</si>
  <si>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</si>
  <si>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</si>
  <si>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</si>
  <si>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</si>
  <si>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</si>
  <si>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</si>
  <si>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</si>
  <si>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</si>
  <si>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</si>
  <si>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</si>
  <si>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</si>
  <si>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</si>
  <si>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</si>
  <si>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</si>
  <si>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</si>
  <si>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</si>
  <si>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</si>
  <si>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</si>
  <si>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</si>
  <si>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</si>
  <si>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</si>
  <si>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</si>
  <si>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</si>
  <si>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</si>
  <si>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</si>
  <si>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</si>
  <si>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</si>
  <si>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</si>
  <si>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</si>
  <si>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</si>
  <si>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</si>
  <si>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</si>
  <si>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</si>
  <si>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</si>
  <si>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</si>
  <si>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</si>
  <si>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</si>
  <si>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</si>
  <si>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</si>
  <si>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</si>
  <si>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</si>
  <si>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</si>
  <si>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</si>
  <si>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</si>
  <si>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</si>
  <si>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</si>
  <si>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</si>
  <si>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</si>
  <si>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</si>
  <si>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</si>
  <si>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</si>
  <si>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</si>
  <si>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</si>
  <si>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</si>
  <si>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</si>
  <si>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</si>
  <si>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</si>
  <si>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</si>
  <si>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</si>
  <si>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</si>
  <si>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</si>
  <si>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</si>
  <si>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</si>
  <si>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</si>
  <si>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</si>
  <si>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</si>
  <si>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</si>
  <si>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</si>
  <si>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</si>
  <si>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</si>
  <si>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</si>
  <si>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</si>
  <si>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</si>
  <si>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</si>
  <si>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</si>
  <si>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</si>
  <si>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</si>
  <si>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</si>
  <si>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</si>
  <si>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</si>
  <si>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</si>
  <si>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</si>
  <si>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</si>
  <si>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</si>
  <si>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</si>
  <si>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</si>
  <si>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</si>
  <si>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</si>
  <si>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</si>
  <si>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</si>
  <si>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</si>
  <si>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</si>
  <si>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</si>
  <si>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</si>
  <si>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</si>
  <si>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</si>
  <si>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</si>
  <si>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</si>
  <si>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</si>
  <si>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</si>
  <si>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</si>
  <si>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</si>
  <si>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</si>
  <si>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</si>
  <si>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</si>
  <si>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</si>
  <si>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</si>
  <si>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</si>
  <si>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</si>
  <si>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</si>
  <si>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</si>
  <si>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</si>
  <si>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</si>
  <si>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</si>
  <si>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</si>
  <si>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</si>
  <si>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</si>
  <si>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</si>
  <si>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</si>
  <si>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</si>
  <si>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</si>
  <si>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</si>
  <si>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</si>
  <si>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</si>
  <si>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</si>
  <si>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</si>
  <si>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</si>
  <si>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</si>
  <si>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</si>
  <si>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</si>
  <si>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</si>
  <si>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</si>
  <si>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</si>
  <si>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</si>
  <si>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</si>
  <si>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</si>
  <si>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</si>
  <si>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</si>
  <si>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</si>
  <si>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</si>
  <si>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</si>
  <si>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</si>
  <si>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</si>
  <si>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</si>
  <si>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</si>
  <si>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</si>
  <si>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</si>
  <si>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</si>
  <si>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</si>
  <si>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</si>
  <si>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</si>
  <si>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</si>
  <si>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</si>
  <si>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</si>
  <si>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</si>
  <si>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</si>
  <si>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</si>
  <si>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</si>
  <si>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</si>
  <si>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</si>
  <si>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</si>
  <si>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</si>
  <si>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</si>
  <si>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</si>
  <si>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</si>
  <si>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</si>
  <si>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</si>
  <si>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</si>
  <si>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</si>
  <si>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</si>
  <si>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</si>
  <si>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</si>
  <si>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</si>
  <si>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</si>
  <si>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</si>
  <si>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</si>
  <si>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</si>
  <si>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</si>
  <si>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</si>
  <si>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</si>
  <si>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</si>
  <si>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</si>
  <si>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</si>
  <si>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</si>
  <si>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</si>
  <si>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</si>
  <si>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</si>
  <si>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</si>
  <si>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</si>
  <si>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</si>
  <si>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</si>
  <si>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</si>
  <si>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</si>
  <si>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</si>
  <si>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</si>
  <si>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</si>
  <si>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</si>
  <si>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</si>
  <si>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</si>
  <si>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</si>
  <si>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</si>
  <si>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</si>
  <si>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</si>
  <si>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</si>
  <si>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</si>
  <si>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</si>
  <si>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</si>
  <si>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</si>
  <si>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</si>
  <si>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</si>
  <si>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</si>
  <si>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</si>
  <si>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</si>
  <si>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</si>
  <si>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</si>
  <si>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</si>
  <si>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</si>
  <si>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</si>
  <si>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</si>
  <si>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</si>
  <si>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</si>
  <si>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</si>
  <si>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</si>
  <si>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</si>
  <si>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</si>
  <si>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</si>
  <si>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</si>
  <si>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</si>
  <si>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</si>
  <si>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</si>
  <si>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</si>
  <si>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</si>
  <si>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</si>
  <si>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</si>
  <si>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</si>
  <si>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</si>
  <si>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</si>
  <si>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</si>
  <si>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</si>
  <si>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</si>
  <si>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</si>
  <si>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</si>
  <si>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</si>
  <si>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</si>
  <si>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</si>
  <si>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</si>
  <si>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</si>
  <si>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</si>
  <si>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</si>
  <si>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</si>
  <si>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</si>
  <si>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</si>
  <si>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</si>
  <si>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</si>
  <si>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</si>
  <si>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</si>
  <si>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</si>
  <si>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</si>
  <si>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</si>
  <si>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</si>
  <si>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</si>
  <si>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</si>
  <si>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</si>
  <si>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</si>
  <si>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</si>
  <si>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</si>
  <si>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</si>
  <si>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</si>
  <si>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</si>
  <si>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</si>
  <si>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</si>
  <si>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</si>
  <si>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</si>
  <si>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</si>
  <si>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</si>
  <si>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</si>
  <si>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</si>
  <si>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</si>
  <si>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</si>
  <si>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</si>
  <si>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</si>
  <si>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</si>
  <si>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</si>
  <si>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</si>
  <si>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</si>
  <si>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</si>
  <si>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</si>
  <si>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</si>
  <si>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</si>
  <si>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</si>
  <si>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</si>
  <si>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</si>
  <si>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</si>
  <si>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</si>
  <si>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</si>
  <si>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</si>
  <si>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</si>
  <si>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</si>
  <si>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</si>
  <si>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</si>
  <si>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</si>
  <si>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</si>
  <si>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</si>
  <si>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</si>
  <si>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</si>
  <si>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</si>
  <si>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</si>
  <si>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</si>
  <si>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</si>
  <si>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</si>
  <si>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</si>
  <si>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</si>
  <si>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</si>
  <si>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</si>
  <si>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</si>
  <si>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</si>
  <si>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</si>
  <si>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</si>
  <si>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</si>
  <si>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</si>
  <si>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</si>
  <si>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</si>
  <si>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</si>
  <si>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</si>
  <si>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</si>
  <si>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</si>
  <si>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</si>
  <si>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</si>
  <si>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</si>
  <si>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</si>
  <si>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</si>
  <si>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</si>
  <si>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</si>
  <si>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</si>
  <si>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</si>
  <si>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</si>
  <si>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</si>
  <si>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</si>
  <si>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</si>
  <si>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</si>
  <si>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</si>
  <si>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</si>
  <si>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</si>
  <si>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</si>
  <si>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</si>
  <si>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</si>
  <si>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</si>
  <si>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</si>
  <si>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</si>
  <si>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</si>
  <si>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</si>
  <si>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</si>
  <si>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</si>
  <si>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</si>
  <si>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</si>
  <si>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</si>
  <si>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</si>
  <si>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</si>
  <si>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</si>
  <si>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</si>
  <si>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</si>
  <si>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</si>
  <si>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</si>
  <si>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</si>
  <si>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</si>
  <si>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</si>
  <si>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</si>
  <si>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</si>
  <si>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</si>
  <si>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</si>
  <si>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</si>
  <si>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</si>
  <si>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</si>
  <si>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</si>
  <si>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</si>
  <si>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</si>
  <si>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</si>
  <si>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</si>
  <si>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</si>
  <si>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</si>
  <si>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</si>
  <si>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</si>
  <si>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</si>
  <si>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</si>
  <si>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</si>
  <si>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</si>
  <si>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</si>
  <si>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</si>
  <si>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</si>
  <si>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</si>
  <si>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</si>
  <si>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</si>
  <si>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</si>
  <si>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</si>
  <si>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</si>
  <si>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</si>
  <si>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</si>
  <si>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</si>
  <si>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</si>
  <si>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</si>
  <si>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</si>
  <si>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</si>
  <si>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</si>
  <si>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</si>
  <si>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</si>
  <si>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</si>
  <si>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</si>
  <si>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</si>
  <si>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</si>
  <si>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</si>
  <si>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</si>
  <si>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</si>
  <si>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</si>
  <si>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</si>
  <si>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</si>
  <si>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</si>
  <si>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</si>
  <si>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</si>
  <si>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</si>
  <si>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</si>
  <si>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</si>
  <si>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</si>
  <si>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</si>
  <si>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</si>
  <si>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</si>
  <si>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</si>
  <si>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</si>
  <si>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</si>
  <si>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</si>
  <si>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</si>
  <si>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</si>
  <si>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</si>
  <si>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</si>
  <si>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</si>
  <si>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</si>
  <si>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</si>
  <si>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</si>
  <si>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</si>
  <si>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</si>
  <si>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</si>
  <si>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</si>
  <si>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</si>
  <si>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</si>
  <si>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</si>
  <si>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</si>
  <si>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</si>
  <si>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</si>
  <si>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</si>
  <si>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</si>
  <si>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</si>
  <si>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</si>
  <si>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</si>
  <si>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</si>
  <si>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</si>
  <si>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</si>
  <si>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</si>
  <si>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</si>
  <si>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</si>
  <si>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</si>
  <si>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</si>
  <si>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</si>
  <si>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</si>
  <si>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</si>
  <si>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</si>
  <si>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</si>
  <si>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</si>
  <si>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</si>
  <si>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</si>
  <si>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</si>
  <si>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</si>
  <si>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</si>
  <si>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</si>
  <si>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</si>
  <si>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</si>
  <si>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</si>
  <si>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</si>
  <si>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</si>
  <si>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</si>
  <si>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</si>
  <si>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</si>
  <si>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</si>
  <si>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</si>
  <si>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</si>
  <si>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</si>
  <si>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</si>
  <si>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</si>
  <si>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</si>
  <si>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</si>
  <si>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</si>
  <si>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</si>
  <si>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</si>
  <si>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</si>
  <si>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</si>
  <si>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</si>
  <si>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</si>
  <si>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</si>
  <si>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</si>
  <si>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</si>
  <si>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</si>
  <si>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</si>
  <si>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</si>
  <si>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</si>
  <si>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</si>
  <si>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</si>
  <si>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</si>
  <si>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</si>
  <si>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</si>
  <si>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</si>
  <si>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</si>
  <si>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</si>
  <si>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</si>
  <si>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</si>
  <si>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</si>
  <si>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</si>
  <si>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</si>
  <si>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</si>
  <si>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</si>
  <si>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</si>
  <si>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</si>
  <si>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</si>
  <si>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</si>
  <si>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</si>
  <si>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</si>
  <si>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</si>
  <si>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</si>
  <si>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</si>
  <si>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</si>
  <si>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</si>
  <si>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</si>
  <si>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</si>
  <si>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</si>
  <si>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</si>
  <si>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</si>
  <si>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</si>
  <si>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</si>
  <si>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</si>
  <si>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</si>
  <si>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</si>
  <si>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</si>
  <si>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</si>
  <si>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</si>
  <si>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</si>
  <si>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</si>
  <si>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</si>
  <si>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</si>
  <si>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</si>
  <si>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</si>
  <si>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</si>
  <si>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</si>
  <si>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</si>
  <si>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</si>
  <si>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</si>
  <si>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</si>
  <si>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</si>
  <si>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</si>
  <si>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</si>
  <si>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</si>
  <si>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</si>
  <si>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</si>
  <si>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</si>
  <si>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</si>
  <si>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</si>
  <si>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</si>
  <si>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</si>
  <si>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</si>
  <si>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</si>
  <si>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</si>
  <si>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</si>
  <si>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</si>
  <si>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</si>
  <si>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</si>
  <si>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</si>
  <si>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</si>
  <si>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</si>
  <si>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</si>
  <si>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</si>
  <si>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</si>
  <si>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</si>
  <si>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</si>
  <si>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</si>
  <si>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</si>
  <si>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</si>
  <si>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</si>
  <si>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</si>
  <si>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</si>
  <si>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</si>
  <si>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</si>
  <si>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</si>
  <si>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</si>
  <si>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</si>
  <si>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</si>
  <si>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</si>
  <si>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</si>
  <si>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</si>
  <si>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</si>
  <si>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</si>
  <si>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</si>
  <si>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</si>
  <si>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</si>
  <si>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</si>
  <si>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</si>
  <si>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</si>
  <si>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</si>
  <si>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</si>
  <si>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</si>
  <si>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</si>
  <si>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</si>
  <si>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</si>
  <si>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</si>
  <si>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</si>
  <si>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</si>
  <si>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</si>
  <si>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</si>
  <si>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</si>
  <si>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</si>
  <si>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</si>
  <si>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</si>
  <si>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</si>
  <si>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</si>
  <si>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</si>
  <si>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</si>
  <si>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</si>
  <si>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</si>
  <si>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</si>
  <si>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</si>
  <si>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</si>
  <si>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</si>
  <si>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</si>
  <si>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</si>
  <si>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</si>
  <si>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</si>
  <si>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</si>
  <si>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</si>
  <si>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</si>
  <si>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</si>
  <si>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</si>
  <si>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</si>
  <si>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</si>
  <si>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</si>
  <si>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</si>
  <si>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</si>
  <si>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</si>
  <si>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</si>
  <si>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</si>
  <si>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</si>
  <si>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</si>
  <si>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</si>
  <si>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</si>
  <si>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</si>
  <si>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</si>
  <si>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</si>
  <si>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</si>
  <si>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</si>
  <si>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</si>
  <si>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</si>
  <si>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</si>
  <si>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</si>
  <si>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</si>
  <si>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</si>
  <si>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</si>
  <si>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</si>
  <si>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</si>
  <si>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</si>
  <si>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</si>
  <si>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</si>
  <si>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</si>
  <si>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</si>
  <si>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</si>
  <si>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</si>
  <si>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</si>
  <si>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</si>
  <si>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</si>
  <si>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</si>
  <si>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</si>
  <si>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</si>
  <si>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</si>
  <si>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</si>
  <si>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</si>
  <si>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</si>
  <si>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</si>
  <si>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</si>
  <si>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</si>
  <si>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</si>
  <si>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</si>
  <si>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</si>
  <si>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</si>
  <si>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</si>
  <si>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</si>
  <si>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</si>
  <si>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</si>
  <si>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</si>
  <si>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</si>
  <si>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</si>
  <si>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</si>
  <si>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</si>
  <si>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</si>
  <si>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</si>
  <si>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</si>
  <si>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</si>
  <si>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</si>
  <si>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</si>
  <si>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</si>
  <si>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</si>
  <si>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</si>
  <si>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</si>
  <si>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</si>
  <si>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</si>
  <si>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</si>
  <si>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</si>
  <si>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</si>
  <si>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</si>
  <si>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</si>
  <si>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</si>
  <si>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</si>
  <si>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</si>
  <si>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</si>
  <si>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</si>
  <si>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</si>
  <si>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</si>
  <si>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</si>
  <si>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</si>
  <si>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</si>
  <si>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</si>
  <si>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</si>
  <si>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</si>
  <si>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</si>
  <si>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</si>
  <si>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</si>
  <si>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</si>
  <si>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</si>
  <si>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</si>
  <si>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</si>
  <si>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</si>
  <si>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</si>
  <si>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</si>
  <si>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</si>
  <si>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</si>
  <si>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</si>
  <si>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</si>
  <si>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</si>
  <si>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</si>
  <si>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</si>
  <si>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</si>
  <si>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</si>
  <si>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</si>
  <si>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</si>
  <si>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</si>
  <si>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</si>
  <si>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</si>
  <si>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</si>
  <si>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</si>
  <si>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</si>
  <si>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</si>
  <si>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</si>
  <si>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</si>
  <si>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</si>
  <si>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</si>
  <si>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</si>
  <si>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</si>
  <si>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</si>
  <si>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</si>
  <si>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</si>
  <si>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</si>
  <si>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</si>
  <si>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</si>
  <si>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</si>
  <si>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</si>
  <si>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</si>
  <si>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</si>
  <si>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</si>
  <si>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</si>
  <si>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</si>
  <si>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</si>
  <si>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</si>
  <si>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</si>
  <si>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Karlsteiner</t>
  </si>
  <si>
    <t>Infamous Blade of Nagaroth</t>
  </si>
  <si>
    <t>Soul Edge</t>
  </si>
  <si>
    <t>Pungolo</t>
  </si>
  <si>
    <t>Shusui</t>
  </si>
  <si>
    <t>Narsil</t>
  </si>
  <si>
    <t>Durlindana</t>
  </si>
  <si>
    <t>Tizona</t>
  </si>
  <si>
    <t>Dhu L-Fiquar</t>
  </si>
  <si>
    <t>Anduril</t>
  </si>
  <si>
    <t>Glamdring</t>
  </si>
  <si>
    <t>Excalibur</t>
  </si>
  <si>
    <t>Longclaw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</si>
</sst>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6">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499">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64" fillId="2" borderId="88" xfId="1"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 fillId="3" borderId="98" xfId="0" applyFont="1" applyFill="1" applyBorder="1" applyAlignment="1">
      <alignment horizontal="center" vertical="center" wrapText="1"/>
    </xf>
    <xf numFmtId="3" fontId="0" fillId="0" borderId="98" xfId="0" applyNumberFormat="1" applyFon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9" fillId="0" borderId="98" xfId="0" applyFont="1" applyBorder="1" applyAlignment="1">
      <alignment horizontal="center" vertical="center"/>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49" fontId="48" fillId="0" borderId="24" xfId="0" applyNumberFormat="1" applyFont="1" applyBorder="1" applyAlignment="1">
      <alignment horizontal="center" vertical="center" wrapText="1"/>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8" fillId="3" borderId="24" xfId="0" applyFont="1" applyFill="1" applyBorder="1" applyAlignment="1">
      <alignment horizontal="center" vertical="center" wrapText="1"/>
    </xf>
    <xf numFmtId="0" fontId="55" fillId="0" borderId="26" xfId="0" applyFont="1" applyBorder="1" applyAlignment="1">
      <alignment wrapText="1"/>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3" fontId="7" fillId="2" borderId="88" xfId="0" applyNumberFormat="1" applyFont="1" applyFill="1" applyBorder="1" applyAlignment="1">
      <alignment horizontal="center" vertical="center"/>
    </xf>
    <xf numFmtId="0" fontId="58" fillId="3" borderId="26"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58" fillId="3"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49" fontId="49" fillId="0" borderId="2" xfId="0" applyNumberFormat="1" applyFont="1" applyBorder="1" applyAlignment="1">
      <alignment horizontal="center" vertical="center" wrapText="1"/>
    </xf>
    <xf numFmtId="0" fontId="58" fillId="3" borderId="28" xfId="0" applyFont="1" applyFill="1" applyBorder="1" applyAlignment="1">
      <alignment horizontal="center" vertical="center"/>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0" fontId="50" fillId="3" borderId="28"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6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xf>
    <xf numFmtId="0" fontId="0" fillId="0" borderId="28"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0" xfId="0" applyFont="1" applyAlignment="1">
      <alignment horizontal="center" vertical="center"/>
    </xf>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8" fillId="5" borderId="28" xfId="0" applyFont="1" applyFill="1" applyBorder="1" applyAlignment="1">
      <alignment horizontal="center" vertical="center" wrapText="1"/>
    </xf>
    <xf numFmtId="0" fontId="1" fillId="0" borderId="79"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4" fillId="0" borderId="0" xfId="0" applyFont="1" applyAlignment="1">
      <alignment horizontal="center" vertical="center" wrapText="1"/>
    </xf>
    <xf numFmtId="0" fontId="67" fillId="2" borderId="97" xfId="0" applyFont="1" applyFill="1" applyBorder="1" applyAlignment="1" applyProtection="1">
      <alignment horizontal="center" vertical="center"/>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7" fillId="2" borderId="95" xfId="0" applyFont="1" applyFill="1" applyBorder="1" applyAlignment="1" applyProtection="1">
      <alignment horizontal="center" vertical="center"/>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1"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2" fillId="7" borderId="7" xfId="0" applyFont="1" applyFill="1" applyBorder="1" applyAlignment="1">
      <alignment horizontal="center" vertical="center" shrinkToFit="1"/>
    </xf>
    <xf numFmtId="0" fontId="35" fillId="7" borderId="1" xfId="0" applyFont="1" applyFill="1" applyBorder="1" applyAlignment="1">
      <alignment horizontal="center" vertical="center" textRotation="90"/>
    </xf>
    <xf numFmtId="0" fontId="31" fillId="7" borderId="7" xfId="0" applyFont="1" applyFill="1" applyBorder="1" applyAlignment="1">
      <alignment horizont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1" fillId="8" borderId="1" xfId="0" applyFont="1" applyFill="1" applyBorder="1" applyAlignment="1">
      <alignment horizontal="center" vertical="center"/>
    </xf>
    <xf numFmtId="3" fontId="35" fillId="8" borderId="7" xfId="0" applyNumberFormat="1" applyFont="1" applyFill="1" applyBorder="1" applyAlignment="1">
      <alignment horizontal="center" vertical="center"/>
    </xf>
    <xf numFmtId="0" fontId="35" fillId="8" borderId="1" xfId="0" applyFont="1" applyFill="1" applyBorder="1" applyAlignment="1">
      <alignment horizontal="center" vertical="center"/>
    </xf>
    <xf numFmtId="0" fontId="34" fillId="7" borderId="7" xfId="0" applyFont="1" applyFill="1" applyBorder="1" applyAlignment="1">
      <alignment horizontal="center"/>
    </xf>
    <xf numFmtId="0" fontId="36" fillId="4" borderId="36" xfId="0" applyFont="1" applyFill="1" applyBorder="1" applyAlignment="1">
      <alignment horizontal="center" vertical="center"/>
    </xf>
    <xf numFmtId="0" fontId="39" fillId="4" borderId="36" xfId="0" applyFont="1" applyFill="1" applyBorder="1" applyAlignment="1">
      <alignment horizontal="center" vertical="center" wrapText="1"/>
    </xf>
    <xf numFmtId="0" fontId="37" fillId="2" borderId="7" xfId="0" applyFont="1" applyFill="1" applyBorder="1" applyAlignment="1">
      <alignment horizontal="left"/>
    </xf>
    <xf numFmtId="0" fontId="34" fillId="7" borderId="1" xfId="0" applyFont="1" applyFill="1" applyBorder="1" applyAlignment="1">
      <alignment horizontal="center"/>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70" fillId="7" borderId="88" xfId="0" applyFont="1" applyFill="1" applyBorder="1" applyAlignment="1">
      <alignment horizontal="center" vertical="center" wrapText="1"/>
    </xf>
    <xf numFmtId="0" fontId="0" fillId="8" borderId="1" xfId="0" applyFont="1" applyFill="1" applyBorder="1" applyAlignment="1">
      <alignment horizontal="center"/>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36" fillId="4" borderId="21" xfId="0" applyFont="1" applyFill="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1" fillId="0" borderId="92" xfId="0" applyFont="1" applyBorder="1"/>
    <xf numFmtId="3" fontId="42" fillId="4" borderId="7" xfId="0" applyNumberFormat="1" applyFont="1" applyFill="1" applyBorder="1" applyAlignment="1">
      <alignment horizontal="center" vertical="center" shrinkToFit="1"/>
    </xf>
    <xf numFmtId="3"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0" fontId="41" fillId="4" borderId="43" xfId="0" applyFont="1" applyFill="1" applyBorder="1" applyAlignment="1">
      <alignment horizontal="center" vertical="center"/>
    </xf>
    <xf numFmtId="0" fontId="1" fillId="0" borderId="16" xfId="0" applyFont="1" applyBorder="1"/>
    <xf numFmtId="0" fontId="1" fillId="0" borderId="18" xfId="0" applyFont="1" applyBorder="1"/>
    <xf numFmtId="1" fontId="43" fillId="4" borderId="21"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xf>
    <xf numFmtId="0" fontId="43" fillId="4" borderId="1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3" fillId="4" borderId="43" xfId="0" applyFont="1" applyFill="1" applyBorder="1" applyAlignment="1">
      <alignment horizontal="center"/>
    </xf>
    <xf numFmtId="0" fontId="45" fillId="0" borderId="0" xfId="0" applyFont="1" applyAlignment="1">
      <alignment horizontal="center" vertical="center"/>
    </xf>
    <xf numFmtId="0" fontId="46" fillId="4" borderId="91" xfId="0" applyFont="1" applyFill="1" applyBorder="1" applyAlignment="1">
      <alignment horizontal="center" vertical="center" wrapText="1"/>
    </xf>
  </cellXfs>
  <cellStyles count="2">
    <cellStyle name="Collegamento ipertestuale" xfId="1" builtinId="8"/>
    <cellStyle name="Normale" xfId="0" builtinId="0"/>
  </cellStyles>
  <dxfs count="199">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187325</xdr:colOff>
      <xdr:row>20</xdr:row>
      <xdr:rowOff>193675</xdr:rowOff>
    </xdr:from>
    <xdr:ext cx="1647825" cy="200977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77825" y="9242425"/>
          <a:ext cx="1647825" cy="20097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sqref="A1:A17"/>
    </sheetView>
  </sheetViews>
  <sheetFormatPr defaultColWidth="0" defaultRowHeight="15" customHeight="1" zeroHeight="1"/>
  <cols>
    <col min="1" max="1" width="2.85546875" style="168" customWidth="1"/>
    <col min="2" max="2" width="71.42578125" style="168" customWidth="1"/>
    <col min="3" max="3" width="7.140625" style="168" customWidth="1"/>
    <col min="4" max="4" width="71.5703125" style="168" customWidth="1"/>
    <col min="5" max="5" width="2.85546875" style="168" customWidth="1"/>
    <col min="6" max="6" width="26" style="168" hidden="1" customWidth="1"/>
    <col min="7" max="7" width="26.85546875" style="168" hidden="1" customWidth="1"/>
    <col min="8" max="8" width="2.85546875" style="168" hidden="1" customWidth="1"/>
    <col min="9" max="13" width="71.42578125" style="168" hidden="1" customWidth="1"/>
    <col min="14" max="31" width="10.7109375" style="168" hidden="1" customWidth="1"/>
    <col min="32" max="16384" width="14.42578125" style="168" hidden="1"/>
  </cols>
  <sheetData>
    <row r="1" spans="1:31" ht="22.5" customHeight="1">
      <c r="A1" s="274"/>
      <c r="B1" s="283" t="str">
        <f>IF(Roster!$J$25="Italiano","Blood Bowl 2020 Roster Torneo",(IF(Roster!$J$25="Español","Blood Bowl 2020 Roster Torneo",(IF(Roster!$J$25="Deutsch","Blood Bowl 2020 Roster Turnier",(IF(Roster!$J$25="Français","Blood Bowl 2020 Roster Tournoi","Blood Bowl 2020 Roster Tourney")))))))</f>
        <v>Blood Bowl 2020 Roster Tourney</v>
      </c>
      <c r="C1" s="284"/>
      <c r="D1" s="285"/>
      <c r="E1" s="274"/>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5" customHeight="1">
      <c r="A2" s="275"/>
      <c r="B2" s="286" t="str">
        <f>Roster!A31</f>
        <v>v4.5 - Created by dreamscreator</v>
      </c>
      <c r="C2" s="275"/>
      <c r="D2" s="275"/>
      <c r="E2" s="275"/>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5" customHeight="1">
      <c r="A3" s="275"/>
      <c r="B3" s="287" t="str">
        <f>Roster!A32</f>
        <v>https://bloodbowlhelp.wordpress.com</v>
      </c>
      <c r="C3" s="275"/>
      <c r="D3" s="275"/>
      <c r="E3" s="275"/>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5" customHeight="1">
      <c r="A4" s="275"/>
      <c r="B4" s="274"/>
      <c r="C4" s="275"/>
      <c r="D4" s="275"/>
      <c r="E4" s="275"/>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5" customHeight="1">
      <c r="A5" s="275"/>
      <c r="B5" s="274" t="str">
        <f>IF(Roster!$J$24="Italiano",M5,(IF(Roster!$J$24="Español",J5,(IF(Roster!$J$24="Deutsch",K5,(IF(Roster!$J$24="Français",L5,I5)))))))</f>
        <v>Compatible with Excel, Google Sheets (just upload Excel to Google Drive) and Libre Office</v>
      </c>
      <c r="C5" s="275"/>
      <c r="D5" s="275"/>
      <c r="E5" s="275"/>
      <c r="H5" s="167"/>
      <c r="I5" s="169" t="s">
        <v>0</v>
      </c>
      <c r="J5" s="170" t="s">
        <v>1</v>
      </c>
      <c r="K5" s="167" t="s">
        <v>2</v>
      </c>
      <c r="L5" s="169" t="s">
        <v>3</v>
      </c>
      <c r="M5" s="169" t="s">
        <v>1192</v>
      </c>
      <c r="N5" s="167"/>
      <c r="O5" s="167"/>
      <c r="P5" s="167"/>
      <c r="Q5" s="167"/>
      <c r="R5" s="167"/>
      <c r="S5" s="167"/>
      <c r="T5" s="167"/>
      <c r="U5" s="167"/>
      <c r="V5" s="167"/>
      <c r="W5" s="167"/>
      <c r="X5" s="167"/>
      <c r="Y5" s="167"/>
      <c r="Z5" s="167"/>
      <c r="AA5" s="167"/>
      <c r="AB5" s="167"/>
      <c r="AC5" s="167"/>
      <c r="AD5" s="167"/>
      <c r="AE5" s="167"/>
    </row>
    <row r="6" spans="1:31" ht="15" customHeight="1">
      <c r="A6" s="275"/>
      <c r="B6" s="274"/>
      <c r="C6" s="275"/>
      <c r="D6" s="275"/>
      <c r="E6" s="275"/>
      <c r="H6" s="184"/>
      <c r="I6" s="169"/>
      <c r="J6" s="170"/>
      <c r="K6" s="184"/>
      <c r="L6" s="169"/>
      <c r="M6" s="169"/>
      <c r="N6" s="184"/>
      <c r="O6" s="184"/>
      <c r="P6" s="184"/>
      <c r="Q6" s="184"/>
      <c r="R6" s="184"/>
      <c r="S6" s="184"/>
      <c r="T6" s="184"/>
      <c r="U6" s="184"/>
      <c r="V6" s="184"/>
      <c r="W6" s="184"/>
      <c r="X6" s="184"/>
      <c r="Y6" s="184"/>
      <c r="Z6" s="184"/>
      <c r="AA6" s="184"/>
      <c r="AB6" s="184"/>
      <c r="AC6" s="184"/>
      <c r="AD6" s="184"/>
      <c r="AE6" s="184"/>
    </row>
    <row r="7" spans="1:31" ht="15" customHeight="1">
      <c r="A7" s="275"/>
      <c r="B7" s="274" t="str">
        <f>IF(Roster!$J$24="Italiano",M7,(IF(Roster!$J$24="Español",J7,(IF(Roster!$J$24="Deutsch",K7,(IF(Roster!$J$24="Français",L7,I7)))))))</f>
        <v>If you want help so I can carry on updating the excel rosters, you can donate in the following link. Thank you very much!</v>
      </c>
      <c r="C7" s="275"/>
      <c r="D7" s="275"/>
      <c r="E7" s="275"/>
      <c r="H7" s="184"/>
      <c r="I7" s="198" t="s">
        <v>1248</v>
      </c>
      <c r="J7" s="198" t="s">
        <v>1249</v>
      </c>
      <c r="K7" s="198" t="s">
        <v>1250</v>
      </c>
      <c r="L7" s="198" t="s">
        <v>1251</v>
      </c>
      <c r="M7" s="198" t="s">
        <v>1252</v>
      </c>
      <c r="N7" s="184"/>
      <c r="O7" s="184"/>
      <c r="P7" s="184"/>
      <c r="Q7" s="184"/>
      <c r="R7" s="184"/>
      <c r="S7" s="184"/>
      <c r="T7" s="184"/>
      <c r="U7" s="184"/>
      <c r="V7" s="184"/>
      <c r="W7" s="184"/>
      <c r="X7" s="184"/>
      <c r="Y7" s="184"/>
      <c r="Z7" s="184"/>
      <c r="AA7" s="184"/>
      <c r="AB7" s="184"/>
      <c r="AC7" s="184"/>
      <c r="AD7" s="184"/>
      <c r="AE7" s="184"/>
    </row>
    <row r="8" spans="1:31" ht="15" customHeight="1">
      <c r="A8" s="275"/>
      <c r="B8" s="276" t="s">
        <v>1253</v>
      </c>
      <c r="C8" s="276"/>
      <c r="D8" s="276"/>
      <c r="E8" s="275"/>
      <c r="H8" s="184"/>
      <c r="I8" s="169"/>
      <c r="J8" s="170"/>
      <c r="K8" s="184"/>
      <c r="L8" s="169"/>
      <c r="M8" s="169"/>
      <c r="N8" s="184"/>
      <c r="O8" s="184"/>
      <c r="P8" s="184"/>
      <c r="Q8" s="184"/>
      <c r="R8" s="184"/>
      <c r="S8" s="184"/>
      <c r="T8" s="184"/>
      <c r="U8" s="184"/>
      <c r="V8" s="184"/>
      <c r="W8" s="184"/>
      <c r="X8" s="184"/>
      <c r="Y8" s="184"/>
      <c r="Z8" s="184"/>
      <c r="AA8" s="184"/>
      <c r="AB8" s="184"/>
      <c r="AC8" s="184"/>
      <c r="AD8" s="184"/>
      <c r="AE8" s="184"/>
    </row>
    <row r="9" spans="1:31" ht="15" customHeight="1">
      <c r="A9" s="275"/>
      <c r="B9" s="274"/>
      <c r="C9" s="275"/>
      <c r="D9" s="275"/>
      <c r="E9" s="275"/>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2.5" customHeight="1">
      <c r="A10" s="275"/>
      <c r="B10" s="280" t="str">
        <f>IF(Roster!$J$24="Italiano","Comment utiliser cet Excel",(IF(Roster!J24="Español","Cómo usar este Excel",(IF(Roster!J24="Deutsch","Wie Sie dieses Excel verwenden",(IF(Roster!J24="Français","Comment utiliser cet Excel","How to use this Excel")))))))</f>
        <v>How to use this Excel</v>
      </c>
      <c r="C10" s="281"/>
      <c r="D10" s="282"/>
      <c r="E10" s="275"/>
      <c r="F10" s="167"/>
      <c r="G10" s="167"/>
      <c r="H10" s="167"/>
      <c r="I10" s="171" t="s">
        <v>4</v>
      </c>
      <c r="J10" s="172" t="s">
        <v>5</v>
      </c>
      <c r="K10" s="173" t="s">
        <v>6</v>
      </c>
      <c r="L10" s="173" t="s">
        <v>7</v>
      </c>
      <c r="M10" s="173" t="s">
        <v>8</v>
      </c>
      <c r="N10" s="167"/>
      <c r="O10" s="167"/>
      <c r="P10" s="167"/>
      <c r="Q10" s="167"/>
      <c r="R10" s="167"/>
      <c r="S10" s="167"/>
      <c r="T10" s="167"/>
      <c r="U10" s="167"/>
      <c r="V10" s="167"/>
      <c r="W10" s="167"/>
      <c r="X10" s="167"/>
      <c r="Y10" s="167"/>
      <c r="Z10" s="167"/>
      <c r="AA10" s="167"/>
      <c r="AB10" s="167"/>
      <c r="AC10" s="167"/>
      <c r="AD10" s="167"/>
      <c r="AE10" s="167"/>
    </row>
    <row r="11" spans="1:31" ht="22.5" customHeight="1">
      <c r="A11" s="275"/>
      <c r="B11" s="277" t="str">
        <f>IF(Roster!$J$24="Italiano",M11,(IF(Roster!$J$24="Español",J11,(IF(Roster!$J$24="Deutsch",K11,(IF(Roster!$J$24="Français",L11,I11)))))))</f>
        <v>TO PRINT: Select the cells you want to print and in Print options choose the option print selected cells.</v>
      </c>
      <c r="C11" s="278"/>
      <c r="D11" s="279"/>
      <c r="E11" s="275"/>
      <c r="F11" s="167"/>
      <c r="G11" s="167"/>
      <c r="H11" s="167"/>
      <c r="I11" s="169" t="s">
        <v>1193</v>
      </c>
      <c r="J11" s="169" t="s">
        <v>1194</v>
      </c>
      <c r="K11" s="174" t="s">
        <v>1195</v>
      </c>
      <c r="L11" s="174" t="s">
        <v>1196</v>
      </c>
      <c r="M11" s="169" t="s">
        <v>1197</v>
      </c>
      <c r="N11" s="167"/>
      <c r="O11" s="167"/>
      <c r="P11" s="167"/>
      <c r="Q11" s="167"/>
      <c r="R11" s="167"/>
      <c r="S11" s="167"/>
      <c r="T11" s="167"/>
      <c r="U11" s="167"/>
      <c r="V11" s="167"/>
      <c r="W11" s="167"/>
      <c r="X11" s="167"/>
      <c r="Y11" s="167"/>
      <c r="Z11" s="167"/>
      <c r="AA11" s="167"/>
      <c r="AB11" s="167"/>
      <c r="AC11" s="167"/>
      <c r="AD11" s="167"/>
      <c r="AE11" s="167"/>
    </row>
    <row r="12" spans="1:31" ht="22.5" customHeight="1">
      <c r="A12" s="275"/>
      <c r="B12" s="277" t="str">
        <f>IF(Roster!$J$24="Italiano",M12,(IF(Roster!$J$24="Español",J12,(IF(Roster!$J$24="Deutsch",K12,(IF(Roster!$J$24="Français",L12,I12)))))))</f>
        <v>By default there are no tournament rules activated, at the bottom of the Roster tab you can select the tournament rules.</v>
      </c>
      <c r="C12" s="278"/>
      <c r="D12" s="279"/>
      <c r="E12" s="275"/>
      <c r="F12" s="167"/>
      <c r="G12" s="167"/>
      <c r="H12" s="167"/>
      <c r="I12" s="169" t="s">
        <v>1210</v>
      </c>
      <c r="J12" s="169" t="s">
        <v>1206</v>
      </c>
      <c r="K12" s="169" t="s">
        <v>1209</v>
      </c>
      <c r="L12" s="169" t="s">
        <v>1208</v>
      </c>
      <c r="M12" s="169" t="s">
        <v>1207</v>
      </c>
      <c r="N12" s="167"/>
      <c r="O12" s="167"/>
      <c r="P12" s="167"/>
      <c r="Q12" s="167"/>
      <c r="R12" s="167"/>
      <c r="S12" s="167"/>
      <c r="T12" s="167"/>
      <c r="U12" s="167"/>
      <c r="V12" s="167"/>
      <c r="W12" s="167"/>
      <c r="X12" s="167"/>
      <c r="Y12" s="167"/>
      <c r="Z12" s="167"/>
      <c r="AA12" s="167"/>
      <c r="AB12" s="167"/>
      <c r="AC12" s="167"/>
      <c r="AD12" s="167"/>
      <c r="AE12" s="167"/>
    </row>
    <row r="13" spans="1:31" ht="67.5" customHeight="1">
      <c r="A13" s="275"/>
      <c r="B13" s="277"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78"/>
      <c r="D13" s="279"/>
      <c r="E13" s="275"/>
      <c r="F13" s="167"/>
      <c r="G13" s="167"/>
      <c r="H13" s="167"/>
      <c r="I13" s="167" t="s">
        <v>9</v>
      </c>
      <c r="J13" s="167" t="s">
        <v>10</v>
      </c>
      <c r="K13" s="167" t="s">
        <v>11</v>
      </c>
      <c r="L13" s="167" t="s">
        <v>12</v>
      </c>
      <c r="M13" s="169" t="s">
        <v>1198</v>
      </c>
      <c r="N13" s="167"/>
      <c r="O13" s="167"/>
      <c r="P13" s="167"/>
      <c r="Q13" s="167"/>
      <c r="R13" s="167"/>
      <c r="S13" s="167"/>
      <c r="T13" s="167"/>
      <c r="U13" s="167"/>
      <c r="V13" s="167"/>
      <c r="W13" s="167"/>
      <c r="X13" s="167"/>
      <c r="Y13" s="167"/>
      <c r="Z13" s="167"/>
      <c r="AA13" s="167"/>
      <c r="AB13" s="167"/>
      <c r="AC13" s="167"/>
      <c r="AD13" s="167"/>
      <c r="AE13" s="167"/>
    </row>
    <row r="14" spans="1:31" ht="51.75" customHeight="1">
      <c r="A14" s="275"/>
      <c r="B14" s="277"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78"/>
      <c r="D14" s="279"/>
      <c r="E14" s="275"/>
      <c r="F14" s="167"/>
      <c r="G14" s="167"/>
      <c r="H14" s="167"/>
      <c r="I14" s="167" t="s">
        <v>13</v>
      </c>
      <c r="J14" s="167" t="s">
        <v>14</v>
      </c>
      <c r="K14" s="167" t="s">
        <v>15</v>
      </c>
      <c r="L14" s="167" t="s">
        <v>16</v>
      </c>
      <c r="M14" s="169" t="s">
        <v>1199</v>
      </c>
      <c r="N14" s="167"/>
      <c r="O14" s="167"/>
      <c r="P14" s="167"/>
      <c r="Q14" s="167"/>
      <c r="R14" s="167"/>
      <c r="S14" s="167"/>
      <c r="T14" s="167"/>
      <c r="U14" s="167"/>
      <c r="V14" s="167"/>
      <c r="W14" s="167"/>
      <c r="X14" s="167"/>
      <c r="Y14" s="167"/>
      <c r="Z14" s="167"/>
      <c r="AA14" s="167"/>
      <c r="AB14" s="167"/>
      <c r="AC14" s="167"/>
      <c r="AD14" s="167"/>
      <c r="AE14" s="167"/>
    </row>
    <row r="15" spans="1:31" ht="32.25" customHeight="1">
      <c r="A15" s="275"/>
      <c r="B15" s="277" t="str">
        <f>IF(Roster!$J$24="Italiano",M15,(IF(Roster!$J$24="Español",J15,(IF(Roster!$J$24="Deutsch",K15,(IF(Roster!$J$24="Français",L15,I15)))))))</f>
        <v>In the match tab you can include the winnings and the variation of Dedicated Fans that will be shown with the calculation made automatically in the roster tab.</v>
      </c>
      <c r="C15" s="278"/>
      <c r="D15" s="279"/>
      <c r="E15" s="275"/>
      <c r="F15" s="167"/>
      <c r="G15" s="167"/>
      <c r="H15" s="167"/>
      <c r="I15" s="175" t="s">
        <v>1200</v>
      </c>
      <c r="J15" s="174" t="s">
        <v>1201</v>
      </c>
      <c r="K15" s="175" t="s">
        <v>1202</v>
      </c>
      <c r="L15" s="169" t="s">
        <v>1203</v>
      </c>
      <c r="M15" s="169" t="s">
        <v>1204</v>
      </c>
      <c r="N15" s="167"/>
      <c r="O15" s="167"/>
      <c r="P15" s="167"/>
      <c r="Q15" s="167"/>
      <c r="R15" s="167"/>
      <c r="S15" s="167"/>
      <c r="T15" s="167"/>
      <c r="U15" s="167"/>
      <c r="V15" s="167"/>
      <c r="W15" s="167"/>
      <c r="X15" s="167"/>
      <c r="Y15" s="167"/>
      <c r="Z15" s="167"/>
      <c r="AA15" s="167"/>
      <c r="AB15" s="167"/>
      <c r="AC15" s="167"/>
      <c r="AD15" s="167"/>
      <c r="AE15" s="167"/>
    </row>
    <row r="16" spans="1:31" ht="32.25" customHeight="1">
      <c r="A16" s="275"/>
      <c r="B16" s="277" t="str">
        <f>IF(Roster!$J$24="Italiano",M16,(IF(Roster!$J$24="Español",J16,(IF(Roster!$J$24="Deutsch",K16,(IF(Roster!$J$24="Français",L16,I16)))))))</f>
        <v>The Team Cards sheet is fully automatic, it is only necessary, if desired, to add images for the players or to change the NAF logo to the team logo.</v>
      </c>
      <c r="C16" s="278"/>
      <c r="D16" s="279"/>
      <c r="E16" s="275"/>
      <c r="F16" s="167"/>
      <c r="G16" s="167"/>
      <c r="H16" s="167"/>
      <c r="I16" s="167" t="s">
        <v>17</v>
      </c>
      <c r="J16" s="169" t="s">
        <v>18</v>
      </c>
      <c r="K16" s="167" t="s">
        <v>19</v>
      </c>
      <c r="L16" s="169" t="s">
        <v>20</v>
      </c>
      <c r="M16" s="169" t="s">
        <v>1205</v>
      </c>
      <c r="N16" s="167"/>
      <c r="O16" s="167"/>
      <c r="P16" s="167"/>
      <c r="Q16" s="167"/>
      <c r="R16" s="167"/>
      <c r="S16" s="167"/>
      <c r="T16" s="167"/>
      <c r="U16" s="167"/>
      <c r="V16" s="167"/>
      <c r="W16" s="167"/>
      <c r="X16" s="167"/>
      <c r="Y16" s="167"/>
      <c r="Z16" s="167"/>
      <c r="AA16" s="167"/>
      <c r="AB16" s="167"/>
      <c r="AC16" s="167"/>
      <c r="AD16" s="167"/>
      <c r="AE16" s="167"/>
    </row>
    <row r="17" spans="1:31" ht="15" customHeight="1">
      <c r="A17" s="275"/>
      <c r="B17" s="167"/>
      <c r="C17" s="167"/>
      <c r="D17" s="167"/>
      <c r="E17" s="275"/>
      <c r="F17" s="167"/>
      <c r="G17" s="167"/>
      <c r="H17" s="167"/>
      <c r="I17" s="167"/>
      <c r="J17" s="167"/>
      <c r="K17" s="167"/>
      <c r="L17" s="167"/>
      <c r="M17" s="169"/>
      <c r="N17" s="167"/>
      <c r="O17" s="167"/>
      <c r="P17" s="167"/>
      <c r="Q17" s="167"/>
      <c r="R17" s="167"/>
      <c r="S17" s="167"/>
      <c r="T17" s="167"/>
      <c r="U17" s="167"/>
      <c r="V17" s="167"/>
      <c r="W17" s="167"/>
      <c r="X17" s="167"/>
      <c r="Y17" s="167"/>
      <c r="Z17" s="167"/>
      <c r="AA17" s="167"/>
      <c r="AB17" s="167"/>
      <c r="AC17" s="167"/>
      <c r="AD17" s="167"/>
      <c r="AE17" s="167"/>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B5:D5"/>
    <mergeCell ref="B6:D6"/>
    <mergeCell ref="B7:D7"/>
    <mergeCell ref="B8:D8"/>
    <mergeCell ref="E1:E17"/>
    <mergeCell ref="B16:D16"/>
    <mergeCell ref="A1:A17"/>
    <mergeCell ref="B10:D10"/>
    <mergeCell ref="B11:D11"/>
    <mergeCell ref="B12:D12"/>
    <mergeCell ref="B13:D13"/>
    <mergeCell ref="B14:D14"/>
    <mergeCell ref="B15:D15"/>
    <mergeCell ref="B9:D9"/>
    <mergeCell ref="B1:D1"/>
    <mergeCell ref="B2:D2"/>
    <mergeCell ref="B3:D3"/>
    <mergeCell ref="B4:D4"/>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tabSelected="1" zoomScaleNormal="100" workbookViewId="0">
      <selection activeCell="AC12" sqref="AC12:AD12"/>
    </sheetView>
  </sheetViews>
  <sheetFormatPr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c r="A1" s="2" t="s">
        <v>21</v>
      </c>
      <c r="B1" s="176" t="str">
        <f>IF(J24="Italiano","NOME GIOCATORE",(IF(J24="Español","NOMBRE JUGADOR",(IF(J24="Deutsch","NAME",(IF(J24="Français","NOM DU JOUEUR","PLAYER NAME")))))))</f>
        <v>PLAYER NAME</v>
      </c>
      <c r="C1" s="328" t="str">
        <f>IF(J24="Italiano","TIPO",(IF(J24="Español","TIPO",(IF(J24="Deutsch","POSITION",(IF(J24="Français","POSTE","TYPE")))))))</f>
        <v>TYPE</v>
      </c>
      <c r="D1" s="284"/>
      <c r="E1" s="284"/>
      <c r="F1" s="285"/>
      <c r="G1" s="309" t="str">
        <f>IF(J24="Italiano","QTA",(IF(J24="Español","CANT",(IF(J24="Deutsch","An- zahl",(IF(J24="Français","QTT","QTY")))))))</f>
        <v>QTY</v>
      </c>
      <c r="H1" s="284"/>
      <c r="I1" s="285"/>
      <c r="J1" s="176" t="str">
        <f>IF(J24="Español","MO",(IF(J24="Deutsch","BE",(IF(J24="Français","M","MA")))))</f>
        <v>MA</v>
      </c>
      <c r="K1" s="176" t="str">
        <f>IF(J24="Español","FU",(IF(J24="Français","F","ST")))</f>
        <v>ST</v>
      </c>
      <c r="L1" s="176" t="str">
        <f>IF(J24="Deutsch","GE","AG")</f>
        <v>AG</v>
      </c>
      <c r="M1" s="176" t="str">
        <f>IF(J24="Deutsch","WG",(IF(J24="Français","CP","PA")))</f>
        <v>PA</v>
      </c>
      <c r="N1" s="176" t="str">
        <f>IF(J24="Español","AR",(IF(J24="Deutsch","RW",(IF(J24="Français","AR","AV")))))</f>
        <v>AV</v>
      </c>
      <c r="O1" s="328" t="str">
        <f>IF(J24="Italiano","ABILITÀ",(IF(J24="Español","HABILIDADES",(IF(J24="Deutsch","FERTIGKEITEN",(IF(J24="Français","COMPÉTENCES","SKILLS")))))))</f>
        <v>SKILLS</v>
      </c>
      <c r="P1" s="333"/>
      <c r="Q1" s="333"/>
      <c r="R1" s="333"/>
      <c r="S1" s="333"/>
      <c r="T1" s="333"/>
      <c r="U1" s="333"/>
      <c r="V1" s="333"/>
      <c r="W1" s="333"/>
      <c r="X1" s="333"/>
      <c r="Y1" s="309" t="str">
        <f>IF(J24="Italiano","AVANZAMENTO 1",(IF(J24="Español","MEJORA 1",(IF(J24="Deutsch","VERBES- SERUNG 1",(IF(J24="Français","AMÉLIORATION 1","UPGRADE 1")))))))</f>
        <v>UPGRADE 1</v>
      </c>
      <c r="Z1" s="315"/>
      <c r="AA1" s="309" t="str">
        <f>IF(J24="Italiano","AVANZAMENTO 2",(IF(J24="Español","MEJORA 2",(IF(J24="Deutsch","VERBES- SERUNG 2",(IF(J24="Français","AMÉLIORATION 2","UPGRADE 2")))))))</f>
        <v>UPGRADE 2</v>
      </c>
      <c r="AB1" s="315"/>
      <c r="AC1" s="309" t="str">
        <f>IF(J24="Italiano","AVANZAMENTO 3",(IF(J24="Español","MEJORA 3",(IF(J24="Deutsch","VERBES- SERUNG 3",(IF(J24="Français","AMÉLIORATION 3","UPGRADE 3")))))))</f>
        <v>UPGRADE 3</v>
      </c>
      <c r="AD1" s="315"/>
      <c r="AE1" s="309" t="str">
        <f>IF(J24="Italiano","AVANZAMENTO 4",(IF(J24="Español","MEJORA 4",(IF(J24="Deutsch","VERBES- SERUNG 4",(IF(J24="Français","AMÉLIORATION 4","UPGRADE 4")))))))</f>
        <v>UPGRADE 4</v>
      </c>
      <c r="AF1" s="315"/>
      <c r="AG1" s="309" t="b">
        <f>IF(J24="Italiano","AVANZAMENTO 5",(IF(J24="Español","LESIONES",(IF(J24="Deutsch","VERLETZUNGEN",(IF(J24="Français","BLESSURES")))))))</f>
        <v>0</v>
      </c>
      <c r="AH1" s="315"/>
      <c r="AI1" s="309" t="str">
        <f>IF(J24="Italiano","AVANZAMENTI CUSTOM",(IF(J24="Español","MEJORA MANUAL",(IF(J24="Deutsch","INDIVIDU- ELLE FERTIG- keit",(IF(J24="Français","AMÉLIORATION PERSO.","CUSTOM UPGRADE")))))))</f>
        <v>CUSTOM UPGRADE</v>
      </c>
      <c r="AJ1" s="316"/>
      <c r="AK1" s="309" t="str">
        <f>IF(J24="Italiano","COSTO AVANZAMENTI",(IF(J24="Español","PRECIO SUBIDAS",(IF(J24="Deutsch","WERT DER VERBESSERUNG",(IF(J24="Français","VALEUR AMÉLIORATION","COST UPGRADES")))))))</f>
        <v>COST UPGRADES</v>
      </c>
      <c r="AL1" s="315"/>
      <c r="AM1" s="177" t="str">
        <f>IF(J24="Français","PSP","SPP")</f>
        <v>SPP</v>
      </c>
      <c r="AN1" s="309" t="str">
        <f>IF(J24="Italiano","COSTO",(IF(J24="Español","PRECIO",(IF(J24="Deutsch","WERT",(IF(J24="Français","VALEUR","COST")))))))</f>
        <v>COST</v>
      </c>
      <c r="AO1" s="310"/>
      <c r="AP1" s="314"/>
      <c r="AQ1" s="4" t="s">
        <v>22</v>
      </c>
      <c r="AR1" s="5" t="s">
        <v>23</v>
      </c>
      <c r="AS1" s="5"/>
      <c r="AT1" s="5"/>
      <c r="AU1" s="5"/>
      <c r="AV1" s="5"/>
      <c r="AW1" s="5"/>
      <c r="AX1" s="306" t="s">
        <v>24</v>
      </c>
      <c r="AY1" s="307"/>
      <c r="AZ1" s="307"/>
      <c r="BA1" s="307"/>
      <c r="BB1" s="307"/>
      <c r="BC1" s="307"/>
      <c r="BD1" s="307"/>
      <c r="BE1" s="307"/>
      <c r="BF1" s="308"/>
      <c r="BG1" s="5"/>
      <c r="BH1" s="5"/>
      <c r="BI1" s="5"/>
      <c r="BJ1" s="5"/>
      <c r="BK1" s="5"/>
      <c r="BL1" s="5"/>
      <c r="BM1" s="5"/>
      <c r="BN1" s="5"/>
      <c r="BO1" s="5" t="str">
        <f>INDEX(BY3:BY31,(SUM(BY2:CB2)))</f>
        <v>Dark Elf</v>
      </c>
      <c r="BP1" s="5"/>
      <c r="BQ1" s="5"/>
      <c r="BR1" s="5"/>
      <c r="BS1" s="5"/>
      <c r="BT1" s="5"/>
      <c r="BU1" s="6"/>
      <c r="BV1" s="6"/>
      <c r="BW1" s="5"/>
      <c r="BX1" s="5"/>
      <c r="BY1" s="207"/>
      <c r="BZ1" s="207"/>
      <c r="CA1" s="207"/>
      <c r="CB1" s="207"/>
      <c r="CC1" s="207"/>
      <c r="CD1" s="207"/>
      <c r="CE1" s="207"/>
      <c r="CF1" s="207"/>
      <c r="CG1" s="207"/>
      <c r="CH1" s="207"/>
      <c r="CI1" s="5"/>
      <c r="CJ1" s="5"/>
      <c r="CK1" s="5"/>
      <c r="CL1" s="5"/>
      <c r="CM1" s="5"/>
      <c r="CN1" s="5"/>
      <c r="CO1" s="5"/>
      <c r="CP1" s="5"/>
      <c r="CQ1" s="5"/>
      <c r="CR1" s="5"/>
      <c r="CS1" s="5"/>
      <c r="CT1" s="5"/>
      <c r="CU1" s="5"/>
      <c r="CV1" s="5"/>
      <c r="CW1" s="5"/>
      <c r="CX1" s="5"/>
      <c r="CY1" s="5"/>
      <c r="CZ1" s="5"/>
    </row>
    <row r="2" spans="1:104" ht="37.5" customHeight="1">
      <c r="A2" s="2">
        <v>1</v>
      </c>
      <c r="B2" s="7" t="s">
        <v>1378</v>
      </c>
      <c r="C2" s="329" t="s">
        <v>392</v>
      </c>
      <c r="D2" s="330"/>
      <c r="E2" s="330"/>
      <c r="F2" s="331"/>
      <c r="G2" s="8">
        <f>IF(C2="",0,(COUNTIF(C2:F17,C2)))</f>
        <v>1</v>
      </c>
      <c r="H2" s="9" t="s">
        <v>25</v>
      </c>
      <c r="I2" s="10">
        <f>IFERROR((VLOOKUP($BO$1&amp;C2,Teams!D:M,10,0)),0)</f>
        <v>2</v>
      </c>
      <c r="J2" s="162">
        <f t="shared" ref="J2:K2" si="0">IFERROR(K66,0)</f>
        <v>7</v>
      </c>
      <c r="K2" s="162">
        <f t="shared" si="0"/>
        <v>3</v>
      </c>
      <c r="L2" s="162" t="str">
        <f t="shared" ref="L2:N2" si="1">IFERROR(M66&amp;"+",0)</f>
        <v>2+</v>
      </c>
      <c r="M2" s="162" t="str">
        <f t="shared" si="1"/>
        <v>3+</v>
      </c>
      <c r="N2" s="162" t="str">
        <f t="shared" si="1"/>
        <v>8+</v>
      </c>
      <c r="O2" s="311" t="str">
        <f>IFERROR((IF(AV2="YES",(VLOOKUP($BO$1&amp;C2,Teams!D:M,7,0)),AW2)),"")</f>
        <v>Dump Off</v>
      </c>
      <c r="P2" s="312"/>
      <c r="Q2" s="312"/>
      <c r="R2" s="312"/>
      <c r="S2" s="312"/>
      <c r="T2" s="312"/>
      <c r="U2" s="312"/>
      <c r="V2" s="312"/>
      <c r="W2" s="312"/>
      <c r="X2" s="313"/>
      <c r="Y2" s="332" t="s">
        <v>434</v>
      </c>
      <c r="Z2" s="294"/>
      <c r="AA2" s="293"/>
      <c r="AB2" s="294"/>
      <c r="AC2" s="293"/>
      <c r="AD2" s="294"/>
      <c r="AE2" s="293"/>
      <c r="AF2" s="294"/>
      <c r="AG2" s="293"/>
      <c r="AH2" s="294"/>
      <c r="AI2" s="293"/>
      <c r="AJ2" s="294"/>
      <c r="AK2" s="295">
        <f t="shared" ref="AK2:AK16" si="2">BI46</f>
        <v>0</v>
      </c>
      <c r="AL2" s="296"/>
      <c r="AM2" s="163">
        <f>IF($AC$37="NO",0,(SUM(CU46:CZ46)))</f>
        <v>0</v>
      </c>
      <c r="AN2" s="297">
        <f>IFERROR((VLOOKUP($BO$1&amp;C2,Teams!D:M,8,0))+AK2,0)</f>
        <v>80000</v>
      </c>
      <c r="AO2" s="298"/>
      <c r="AP2" s="314"/>
      <c r="AQ2" s="4">
        <f>IFERROR((((VLOOKUP($BO$1&amp;C2,Teams!D:M,9,0)+(AK2/1000)))),0)</f>
        <v>80</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Pass</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Pass</v>
      </c>
      <c r="BG2" s="13" t="str">
        <f>IFERROR((IF((VLOOKUP($BO$1&amp;C2,Teams!D:M,7,0))="","",", ")),"")</f>
        <v xml:space="preserve">, </v>
      </c>
      <c r="BH2" s="14" t="str">
        <f>IF(AND((VLOOKUP($BO$1&amp;C2,Teams!D:M,7,0))="",AX2=""),"",", ")</f>
        <v xml:space="preserve">, </v>
      </c>
      <c r="BI2" s="5" t="str">
        <f>$BO$1&amp;1</f>
        <v>Dark Elf1</v>
      </c>
      <c r="BJ2" s="14" t="str">
        <f>IFERROR(IF((VLOOKUP(BI2,Teams!B:C,2,FALSE))=0,"",(VLOOKUP(BI2,Teams!B:C,2,FALSE))),"")</f>
        <v/>
      </c>
      <c r="BK2" s="5"/>
      <c r="BL2" s="5"/>
      <c r="BM2" s="15"/>
      <c r="BN2" s="15" t="s">
        <v>26</v>
      </c>
      <c r="BO2" s="5" t="str">
        <f>INDEX(BN3:BN31,(SUM(BY2:CB2)))</f>
        <v>DarkElf</v>
      </c>
      <c r="BP2" s="15" t="s">
        <v>27</v>
      </c>
      <c r="BQ2" s="15" t="s">
        <v>28</v>
      </c>
      <c r="BR2" s="15" t="s">
        <v>29</v>
      </c>
      <c r="BS2" s="16" t="s">
        <v>30</v>
      </c>
      <c r="BT2" s="16" t="s">
        <v>31</v>
      </c>
      <c r="BU2" s="6" t="str">
        <f>VLOOKUP(BO1,BL:BT,9,FALSE)</f>
        <v>ElvenKingdomsLeague</v>
      </c>
      <c r="BV2" s="6">
        <f>VLOOKUP(BO1,BL1:BU44,10,FALSE)</f>
        <v>0</v>
      </c>
      <c r="BW2" s="6">
        <f>VLOOKUP(BO1,BL1:BV44,11,FALSE)</f>
        <v>0</v>
      </c>
      <c r="BX2" s="16"/>
      <c r="BY2" s="206">
        <f>IFERROR(MATCH($J$22,BY3:BY31,0),0)</f>
        <v>6</v>
      </c>
      <c r="BZ2" s="206">
        <f>IFERROR(MATCH($J$22,BZ3:BZ31,0),0)</f>
        <v>0</v>
      </c>
      <c r="CA2" s="206">
        <f>IFERROR(MATCH($J$22,CA3:CA31,0),0)</f>
        <v>0</v>
      </c>
      <c r="CB2" s="206">
        <f>IFERROR(MATCH($J$22,CB3:CB31,0),0)</f>
        <v>0</v>
      </c>
      <c r="CC2" s="206"/>
      <c r="CD2" s="206"/>
      <c r="CE2" s="199" t="s">
        <v>1254</v>
      </c>
      <c r="CF2" s="199" t="s">
        <v>1255</v>
      </c>
      <c r="CG2" s="199" t="s">
        <v>1256</v>
      </c>
      <c r="CH2" s="199" t="s">
        <v>1257</v>
      </c>
      <c r="CI2" s="5"/>
      <c r="CJ2" s="5"/>
      <c r="CK2" s="5"/>
      <c r="CL2" s="5"/>
      <c r="CM2" s="5"/>
      <c r="CN2" s="5"/>
      <c r="CO2" s="5"/>
      <c r="CP2" s="5"/>
      <c r="CQ2" s="5"/>
      <c r="CR2" s="5"/>
      <c r="CS2" s="5"/>
      <c r="CT2" s="5"/>
      <c r="CU2" s="5"/>
      <c r="CV2" s="5"/>
      <c r="CW2" s="5"/>
      <c r="CX2" s="5"/>
      <c r="CY2" s="5"/>
      <c r="CZ2" s="5"/>
    </row>
    <row r="3" spans="1:104" ht="37.5" customHeight="1">
      <c r="A3" s="2">
        <v>2</v>
      </c>
      <c r="B3" s="7" t="s">
        <v>1387</v>
      </c>
      <c r="C3" s="329" t="s">
        <v>280</v>
      </c>
      <c r="D3" s="330"/>
      <c r="E3" s="330"/>
      <c r="F3" s="331"/>
      <c r="G3" s="8">
        <f>IF(C3="",0,(COUNTIF(C2:F17,C3)))</f>
        <v>2</v>
      </c>
      <c r="H3" s="9" t="s">
        <v>25</v>
      </c>
      <c r="I3" s="10">
        <f>IFERROR((VLOOKUP($BO$1&amp;C3,Teams!D:M,10,0)),0)</f>
        <v>4</v>
      </c>
      <c r="J3" s="162">
        <f t="shared" ref="J3:K3" si="15">IFERROR(K67,0)</f>
        <v>7</v>
      </c>
      <c r="K3" s="162">
        <f t="shared" si="15"/>
        <v>3</v>
      </c>
      <c r="L3" s="162" t="str">
        <f t="shared" ref="L3:N3" si="16">IFERROR(M67&amp;"+",0)</f>
        <v>2+</v>
      </c>
      <c r="M3" s="162" t="str">
        <f t="shared" si="16"/>
        <v>4+</v>
      </c>
      <c r="N3" s="162" t="str">
        <f t="shared" si="16"/>
        <v>9+</v>
      </c>
      <c r="O3" s="311" t="str">
        <f>IFERROR((IF(AV3="YES",(VLOOKUP($BO$1&amp;C3,Teams!D:M,7,0)),AW3)),"")</f>
        <v>Block</v>
      </c>
      <c r="P3" s="312"/>
      <c r="Q3" s="312"/>
      <c r="R3" s="312"/>
      <c r="S3" s="312"/>
      <c r="T3" s="312"/>
      <c r="U3" s="312"/>
      <c r="V3" s="312"/>
      <c r="W3" s="312"/>
      <c r="X3" s="313"/>
      <c r="Y3" s="293" t="s">
        <v>266</v>
      </c>
      <c r="Z3" s="294"/>
      <c r="AA3" s="293"/>
      <c r="AB3" s="294"/>
      <c r="AC3" s="293"/>
      <c r="AD3" s="294"/>
      <c r="AE3" s="293"/>
      <c r="AF3" s="294"/>
      <c r="AG3" s="293"/>
      <c r="AH3" s="294"/>
      <c r="AI3" s="293"/>
      <c r="AJ3" s="294"/>
      <c r="AK3" s="295">
        <f t="shared" si="2"/>
        <v>0</v>
      </c>
      <c r="AL3" s="296"/>
      <c r="AM3" s="163">
        <f t="shared" ref="AM3:AM17" si="17">IF($AC$37="NO",0,(SUM(CU47:CZ47)))</f>
        <v>0</v>
      </c>
      <c r="AN3" s="297">
        <f>IFERROR((VLOOKUP($BO$1&amp;C3,Teams!D:M,8,0))+AK3,0)</f>
        <v>100000</v>
      </c>
      <c r="AO3" s="298"/>
      <c r="AP3" s="314"/>
      <c r="AQ3" s="4">
        <f>IFERROR((((VLOOKUP($BO$1&amp;C3,Teams!D:M,9,0)+(AK3/1000)))),0)</f>
        <v>100</v>
      </c>
      <c r="AR3" s="5">
        <f>IFERROR((VLOOKUP($BO$1&amp;C3,Teams!D:N,11,0)),0)</f>
        <v>0</v>
      </c>
      <c r="AS3" s="152" t="str">
        <f t="shared" si="3"/>
        <v/>
      </c>
      <c r="AT3" s="152" t="str">
        <f t="shared" si="4"/>
        <v/>
      </c>
      <c r="AU3" s="152" t="str">
        <f t="shared" si="5"/>
        <v/>
      </c>
      <c r="AV3" s="5" t="str">
        <f t="shared" si="6"/>
        <v>YES</v>
      </c>
      <c r="AW3" s="5" t="str">
        <f t="shared" si="7"/>
        <v/>
      </c>
      <c r="AX3" s="11" t="str">
        <f t="shared" si="8"/>
        <v>, Dodge</v>
      </c>
      <c r="AY3" s="11" t="str">
        <f t="shared" si="9"/>
        <v/>
      </c>
      <c r="AZ3" s="11" t="str">
        <f t="shared" si="10"/>
        <v/>
      </c>
      <c r="BA3" s="11" t="str">
        <f t="shared" si="11"/>
        <v/>
      </c>
      <c r="BB3" s="11"/>
      <c r="BC3" s="11"/>
      <c r="BD3" s="11" t="str">
        <f t="shared" si="12"/>
        <v/>
      </c>
      <c r="BE3" s="11" t="str">
        <f t="shared" si="13"/>
        <v/>
      </c>
      <c r="BF3" s="12" t="str">
        <f t="shared" si="14"/>
        <v>, Dodge</v>
      </c>
      <c r="BG3" s="13" t="str">
        <f>IFERROR((IF((VLOOKUP($BO$1&amp;C3,Teams!D:M,7,0))="","",", ")),"")</f>
        <v xml:space="preserve">, </v>
      </c>
      <c r="BH3" s="14" t="str">
        <f>IF(AND((VLOOKUP($BO$1&amp;C3,Teams!D:M,7,0))="",AX3=""),"",", ")</f>
        <v xml:space="preserve">, </v>
      </c>
      <c r="BI3" s="5" t="str">
        <f>$BO$1&amp;2</f>
        <v>Dark Elf2</v>
      </c>
      <c r="BJ3" s="14" t="str">
        <f>IFERROR(IF((VLOOKUP(BI3,Teams!B:C,2,FALSE))=0,"",(VLOOKUP(BI3,Teams!B:C,2,FALSE))),"")</f>
        <v>Lineman</v>
      </c>
      <c r="BK3" s="5"/>
      <c r="BL3" s="5" t="s">
        <v>32</v>
      </c>
      <c r="BM3" s="161" t="str">
        <f t="shared" ref="BM3:BM19" si="18">IF($J$24="Español",CF3,(IF($J$24="Deutsch",CG3,(IF($J$24="Français",CH3,CE3)))))</f>
        <v>Amazon</v>
      </c>
      <c r="BN3" s="5" t="s">
        <v>32</v>
      </c>
      <c r="BO3" s="5"/>
      <c r="BP3" s="5">
        <v>50000</v>
      </c>
      <c r="BQ3" s="5">
        <v>50000</v>
      </c>
      <c r="BR3" s="5">
        <v>0</v>
      </c>
      <c r="BS3" s="179" t="str">
        <f>IF($J$24="Español","Superliga Lustriana",(IF($J$24="Deutsch","Lustria-Superliga",(IF($J$24="Français","Super-Ligue de Lustrie","Lustrian Superleague")))))</f>
        <v>Lustrian Superleague</v>
      </c>
      <c r="BT3" s="6" t="s">
        <v>33</v>
      </c>
      <c r="BU3" s="6"/>
      <c r="BV3" s="6"/>
      <c r="BW3" s="6"/>
      <c r="BX3" s="6"/>
      <c r="BY3" s="207" t="s">
        <v>32</v>
      </c>
      <c r="BZ3" s="207" t="s">
        <v>34</v>
      </c>
      <c r="CA3" s="60" t="s">
        <v>35</v>
      </c>
      <c r="CB3" s="4" t="s">
        <v>36</v>
      </c>
      <c r="CC3" s="4"/>
      <c r="CD3" s="4"/>
      <c r="CE3" s="200" t="s">
        <v>32</v>
      </c>
      <c r="CF3" s="200" t="s">
        <v>142</v>
      </c>
      <c r="CG3" s="200" t="s">
        <v>35</v>
      </c>
      <c r="CH3" s="200" t="s">
        <v>144</v>
      </c>
      <c r="CI3" s="5"/>
      <c r="CJ3" s="5"/>
      <c r="CK3" s="5"/>
      <c r="CL3" s="5"/>
      <c r="CM3" s="5"/>
      <c r="CN3" s="5"/>
      <c r="CO3" s="5"/>
      <c r="CP3" s="5"/>
      <c r="CQ3" s="5"/>
      <c r="CR3" s="5"/>
      <c r="CS3" s="5"/>
      <c r="CT3" s="5"/>
      <c r="CU3" s="5"/>
      <c r="CV3" s="5"/>
      <c r="CW3" s="5"/>
      <c r="CX3" s="5"/>
      <c r="CY3" s="5"/>
      <c r="CZ3" s="5"/>
    </row>
    <row r="4" spans="1:104" ht="37.5" customHeight="1">
      <c r="A4" s="2">
        <v>3</v>
      </c>
      <c r="B4" s="7" t="s">
        <v>1388</v>
      </c>
      <c r="C4" s="329" t="s">
        <v>280</v>
      </c>
      <c r="D4" s="330"/>
      <c r="E4" s="330"/>
      <c r="F4" s="331"/>
      <c r="G4" s="8">
        <f>IF(C4="",0,(COUNTIF(C2:F17,C4)))</f>
        <v>2</v>
      </c>
      <c r="H4" s="9" t="s">
        <v>25</v>
      </c>
      <c r="I4" s="10">
        <f>IFERROR((VLOOKUP($BO$1&amp;C4,Teams!D:M,10,0)),0)</f>
        <v>4</v>
      </c>
      <c r="J4" s="162">
        <f t="shared" ref="J4:K4" si="19">IFERROR(K68,0)</f>
        <v>7</v>
      </c>
      <c r="K4" s="162">
        <f t="shared" si="19"/>
        <v>3</v>
      </c>
      <c r="L4" s="162" t="str">
        <f t="shared" ref="L4:N4" si="20">IFERROR(M68&amp;"+",0)</f>
        <v>2+</v>
      </c>
      <c r="M4" s="162" t="str">
        <f t="shared" si="20"/>
        <v>4+</v>
      </c>
      <c r="N4" s="162" t="str">
        <f t="shared" si="20"/>
        <v>9+</v>
      </c>
      <c r="O4" s="311" t="str">
        <f>IFERROR((IF(AV4="YES",(VLOOKUP($BO$1&amp;C4,Teams!D:M,7,0)),AW4)),"")</f>
        <v>Block</v>
      </c>
      <c r="P4" s="312"/>
      <c r="Q4" s="312"/>
      <c r="R4" s="312"/>
      <c r="S4" s="312"/>
      <c r="T4" s="312"/>
      <c r="U4" s="312"/>
      <c r="V4" s="312"/>
      <c r="W4" s="312"/>
      <c r="X4" s="313"/>
      <c r="Y4" s="293" t="s">
        <v>266</v>
      </c>
      <c r="Z4" s="294"/>
      <c r="AA4" s="293"/>
      <c r="AB4" s="294"/>
      <c r="AC4" s="293"/>
      <c r="AD4" s="294"/>
      <c r="AE4" s="293"/>
      <c r="AF4" s="294"/>
      <c r="AG4" s="293"/>
      <c r="AH4" s="294"/>
      <c r="AI4" s="293"/>
      <c r="AJ4" s="294"/>
      <c r="AK4" s="295">
        <f t="shared" si="2"/>
        <v>0</v>
      </c>
      <c r="AL4" s="296"/>
      <c r="AM4" s="163">
        <f t="shared" si="17"/>
        <v>0</v>
      </c>
      <c r="AN4" s="297">
        <f>IFERROR((VLOOKUP($BO$1&amp;C4,Teams!D:M,8,0))+AK4,0)</f>
        <v>100000</v>
      </c>
      <c r="AO4" s="298"/>
      <c r="AP4" s="314"/>
      <c r="AQ4" s="4">
        <f>IFERROR((((VLOOKUP($BO$1&amp;C4,Teams!D:M,9,0)+(AK4/1000)))),0)</f>
        <v>100</v>
      </c>
      <c r="AR4" s="5">
        <f>IFERROR((VLOOKUP($BO$1&amp;C4,Teams!D:N,11,0)),0)</f>
        <v>0</v>
      </c>
      <c r="AS4" s="152" t="str">
        <f t="shared" si="3"/>
        <v/>
      </c>
      <c r="AT4" s="152" t="str">
        <f t="shared" si="4"/>
        <v/>
      </c>
      <c r="AU4" s="152" t="str">
        <f t="shared" si="5"/>
        <v/>
      </c>
      <c r="AV4" s="5" t="str">
        <f t="shared" si="6"/>
        <v>YES</v>
      </c>
      <c r="AW4" s="5" t="str">
        <f t="shared" si="7"/>
        <v/>
      </c>
      <c r="AX4" s="11" t="str">
        <f t="shared" si="8"/>
        <v>, Dodge</v>
      </c>
      <c r="AY4" s="11" t="str">
        <f t="shared" si="9"/>
        <v/>
      </c>
      <c r="AZ4" s="11" t="str">
        <f t="shared" si="10"/>
        <v/>
      </c>
      <c r="BA4" s="11" t="str">
        <f t="shared" si="11"/>
        <v/>
      </c>
      <c r="BB4" s="11"/>
      <c r="BC4" s="11"/>
      <c r="BD4" s="11" t="str">
        <f t="shared" si="12"/>
        <v/>
      </c>
      <c r="BE4" s="11" t="str">
        <f t="shared" si="13"/>
        <v/>
      </c>
      <c r="BF4" s="12" t="str">
        <f t="shared" si="14"/>
        <v>, Dodge</v>
      </c>
      <c r="BG4" s="13" t="str">
        <f>IFERROR((IF((VLOOKUP($BO$1&amp;C4,Teams!D:M,7,0))="","",", ")),"")</f>
        <v xml:space="preserve">, </v>
      </c>
      <c r="BH4" s="14" t="str">
        <f>IF(AND((VLOOKUP($BO$1&amp;C4,Teams!D:M,7,0))="",AX4=""),"",", ")</f>
        <v xml:space="preserve">, </v>
      </c>
      <c r="BI4" s="5" t="str">
        <f>$BO$1&amp;3</f>
        <v>Dark Elf3</v>
      </c>
      <c r="BJ4" s="14" t="str">
        <f>IFERROR(IF((VLOOKUP(BI4,Teams!B:C,2,FALSE))=0,"",(VLOOKUP(BI4,Teams!B:C,2,FALSE))),"")</f>
        <v>Runner</v>
      </c>
      <c r="BK4" s="5"/>
      <c r="BL4" s="5" t="s">
        <v>37</v>
      </c>
      <c r="BM4" s="161" t="str">
        <f t="shared" si="18"/>
        <v>Black Orc</v>
      </c>
      <c r="BN4" s="5" t="s">
        <v>38</v>
      </c>
      <c r="BO4" s="5"/>
      <c r="BP4" s="5">
        <v>60000</v>
      </c>
      <c r="BQ4" s="5">
        <v>50000</v>
      </c>
      <c r="BR4" s="5">
        <v>1</v>
      </c>
      <c r="BS4" s="179"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7" t="s">
        <v>37</v>
      </c>
      <c r="BZ4" s="207" t="s">
        <v>41</v>
      </c>
      <c r="CA4" s="60" t="s">
        <v>42</v>
      </c>
      <c r="CB4" s="4" t="s">
        <v>43</v>
      </c>
      <c r="CC4" s="4"/>
      <c r="CD4" s="4"/>
      <c r="CE4" s="200" t="s">
        <v>37</v>
      </c>
      <c r="CF4" s="200" t="s">
        <v>93</v>
      </c>
      <c r="CG4" s="200" t="s">
        <v>42</v>
      </c>
      <c r="CH4" s="200" t="s">
        <v>36</v>
      </c>
      <c r="CI4" s="5"/>
      <c r="CJ4" s="5"/>
      <c r="CK4" s="5"/>
      <c r="CL4" s="5"/>
      <c r="CM4" s="5"/>
      <c r="CN4" s="5"/>
      <c r="CO4" s="5"/>
      <c r="CP4" s="5"/>
      <c r="CQ4" s="5"/>
      <c r="CR4" s="5"/>
      <c r="CS4" s="5"/>
      <c r="CT4" s="5"/>
      <c r="CU4" s="5"/>
      <c r="CV4" s="5"/>
      <c r="CW4" s="5"/>
      <c r="CX4" s="5"/>
      <c r="CY4" s="5"/>
      <c r="CZ4" s="5"/>
    </row>
    <row r="5" spans="1:104" ht="37.5" customHeight="1">
      <c r="A5" s="2">
        <v>4</v>
      </c>
      <c r="B5" s="7"/>
      <c r="C5" s="329" t="s">
        <v>170</v>
      </c>
      <c r="D5" s="330"/>
      <c r="E5" s="330"/>
      <c r="F5" s="331"/>
      <c r="G5" s="8">
        <f>IF(C5="",0,(COUNTIF(C2:F17,C5)))</f>
        <v>0</v>
      </c>
      <c r="H5" s="9" t="s">
        <v>25</v>
      </c>
      <c r="I5" s="10">
        <f>IFERROR((VLOOKUP($BO$1&amp;C5,Teams!D:M,10,0)),0)</f>
        <v>0</v>
      </c>
      <c r="J5" s="162">
        <f t="shared" ref="J5:K5" si="21">IFERROR(K69,0)</f>
        <v>0</v>
      </c>
      <c r="K5" s="162">
        <f t="shared" si="21"/>
        <v>0</v>
      </c>
      <c r="L5" s="162" t="str">
        <f t="shared" ref="L5:N5" si="22">IFERROR(M69&amp;"+",0)</f>
        <v>0+</v>
      </c>
      <c r="M5" s="162" t="str">
        <f t="shared" si="22"/>
        <v>0+</v>
      </c>
      <c r="N5" s="162" t="str">
        <f t="shared" si="22"/>
        <v>0+</v>
      </c>
      <c r="O5" s="311">
        <f>IFERROR((IF(AV5="YES",(VLOOKUP($BO$1&amp;C5,Teams!D:M,7,0)),AW5)),"")</f>
        <v>0</v>
      </c>
      <c r="P5" s="312"/>
      <c r="Q5" s="312"/>
      <c r="R5" s="312"/>
      <c r="S5" s="312"/>
      <c r="T5" s="312"/>
      <c r="U5" s="312"/>
      <c r="V5" s="312"/>
      <c r="W5" s="312"/>
      <c r="X5" s="313"/>
      <c r="Y5" s="293"/>
      <c r="Z5" s="294"/>
      <c r="AA5" s="293"/>
      <c r="AB5" s="294"/>
      <c r="AC5" s="293"/>
      <c r="AD5" s="294"/>
      <c r="AE5" s="293"/>
      <c r="AF5" s="294"/>
      <c r="AG5" s="293"/>
      <c r="AH5" s="294"/>
      <c r="AI5" s="293"/>
      <c r="AJ5" s="294"/>
      <c r="AK5" s="295">
        <f t="shared" si="2"/>
        <v>0</v>
      </c>
      <c r="AL5" s="296"/>
      <c r="AM5" s="163">
        <f t="shared" si="17"/>
        <v>0</v>
      </c>
      <c r="AN5" s="297">
        <f>IFERROR((VLOOKUP($BO$1&amp;C5,Teams!D:M,8,0))+AK5,0)</f>
        <v>0</v>
      </c>
      <c r="AO5" s="298"/>
      <c r="AP5" s="314"/>
      <c r="AQ5" s="4">
        <f>IFERROR((((VLOOKUP($BO$1&amp;C5,Teams!D:M,9,0)+(AK5/1000)))),0)</f>
        <v>0</v>
      </c>
      <c r="AR5" s="5">
        <f>IFERROR((VLOOKUP($BO$1&amp;C5,Teams!D:N,11,0)),0)</f>
        <v>0</v>
      </c>
      <c r="AS5" s="152" t="str">
        <f t="shared" si="3"/>
        <v/>
      </c>
      <c r="AT5" s="152" t="str">
        <f t="shared" si="4"/>
        <v/>
      </c>
      <c r="AU5" s="152" t="str">
        <f t="shared" si="5"/>
        <v/>
      </c>
      <c r="AV5" s="5" t="str">
        <f t="shared" si="6"/>
        <v>YES</v>
      </c>
      <c r="AW5" s="5" t="str">
        <f t="shared" si="7"/>
        <v/>
      </c>
      <c r="AX5" s="11" t="str">
        <f t="shared" si="8"/>
        <v/>
      </c>
      <c r="AY5" s="11" t="str">
        <f t="shared" si="9"/>
        <v/>
      </c>
      <c r="AZ5" s="11" t="str">
        <f t="shared" si="10"/>
        <v/>
      </c>
      <c r="BA5" s="11" t="str">
        <f t="shared" si="11"/>
        <v/>
      </c>
      <c r="BB5" s="11"/>
      <c r="BC5" s="11"/>
      <c r="BD5" s="11" t="str">
        <f t="shared" si="12"/>
        <v/>
      </c>
      <c r="BE5" s="11" t="str">
        <f t="shared" si="13"/>
        <v/>
      </c>
      <c r="BF5" s="12" t="str">
        <f t="shared" si="14"/>
        <v/>
      </c>
      <c r="BG5" s="13" t="str">
        <f>IFERROR((IF((VLOOKUP($BO$1&amp;C5,Teams!D:M,7,0))="","",", ")),"")</f>
        <v xml:space="preserve">, </v>
      </c>
      <c r="BH5" s="14" t="str">
        <f>IF(AND((VLOOKUP($BO$1&amp;C5,Teams!D:M,7,0))="",AX5=""),"",", ")</f>
        <v xml:space="preserve">, </v>
      </c>
      <c r="BI5" s="5" t="str">
        <f>$BO$1&amp;4</f>
        <v>Dark Elf4</v>
      </c>
      <c r="BJ5" s="14" t="str">
        <f>IFERROR(IF((VLOOKUP(BI5,Teams!B:C,2,FALSE))=0,"",(VLOOKUP(BI5,Teams!B:C,2,FALSE))),"")</f>
        <v>Assassin</v>
      </c>
      <c r="BK5" s="5"/>
      <c r="BL5" s="5" t="s">
        <v>44</v>
      </c>
      <c r="BM5" s="161" t="str">
        <f t="shared" si="18"/>
        <v>Chaos Chosen</v>
      </c>
      <c r="BN5" s="5" t="s">
        <v>45</v>
      </c>
      <c r="BO5" s="5"/>
      <c r="BP5" s="5">
        <v>60000</v>
      </c>
      <c r="BQ5" s="5">
        <v>50000</v>
      </c>
      <c r="BR5" s="5">
        <v>1</v>
      </c>
      <c r="BS5" s="179" t="str">
        <f>IF($J$24="Español","Elegido de…",(IF($J$24="Deutsch","Auserwählte des…",(IF($J$24="Français","Favoris de...","Favoured of…")))))</f>
        <v>Favoured of…</v>
      </c>
      <c r="BT5" s="6" t="s">
        <v>46</v>
      </c>
      <c r="BU5" s="6"/>
      <c r="BV5" s="6"/>
      <c r="BW5" s="6"/>
      <c r="BX5" s="6"/>
      <c r="BY5" s="207" t="s">
        <v>44</v>
      </c>
      <c r="BZ5" s="207" t="s">
        <v>47</v>
      </c>
      <c r="CA5" s="60" t="s">
        <v>48</v>
      </c>
      <c r="CB5" s="4" t="s">
        <v>49</v>
      </c>
      <c r="CC5" s="4"/>
      <c r="CD5" s="4"/>
      <c r="CE5" s="200" t="s">
        <v>44</v>
      </c>
      <c r="CF5" s="200" t="s">
        <v>34</v>
      </c>
      <c r="CG5" s="200" t="s">
        <v>48</v>
      </c>
      <c r="CH5" s="200" t="s">
        <v>180</v>
      </c>
      <c r="CI5" s="5"/>
      <c r="CJ5" s="5"/>
      <c r="CK5" s="5"/>
      <c r="CL5" s="5"/>
      <c r="CM5" s="5"/>
      <c r="CN5" s="5"/>
      <c r="CO5" s="5"/>
      <c r="CP5" s="5"/>
      <c r="CQ5" s="5"/>
      <c r="CR5" s="5"/>
      <c r="CS5" s="5"/>
      <c r="CT5" s="5"/>
      <c r="CU5" s="5"/>
      <c r="CV5" s="5"/>
      <c r="CW5" s="5"/>
      <c r="CX5" s="5"/>
      <c r="CY5" s="5"/>
      <c r="CZ5" s="5"/>
    </row>
    <row r="6" spans="1:104" ht="37.5" customHeight="1">
      <c r="A6" s="2">
        <v>5</v>
      </c>
      <c r="B6" s="7"/>
      <c r="C6" s="329"/>
      <c r="D6" s="330"/>
      <c r="E6" s="330"/>
      <c r="F6" s="331"/>
      <c r="G6" s="8">
        <f>IF(C6="",0,(COUNTIF(C2:F17,C6)))</f>
        <v>0</v>
      </c>
      <c r="H6" s="9" t="s">
        <v>25</v>
      </c>
      <c r="I6" s="10">
        <f>IFERROR((VLOOKUP($BO$1&amp;C6,Teams!D:M,10,0)),0)</f>
        <v>0</v>
      </c>
      <c r="J6" s="162">
        <f t="shared" ref="J6:K6" si="23">IFERROR(K70,0)</f>
        <v>0</v>
      </c>
      <c r="K6" s="162">
        <f t="shared" si="23"/>
        <v>0</v>
      </c>
      <c r="L6" s="162" t="str">
        <f t="shared" ref="L6:N6" si="24">IFERROR(M70&amp;"+",0)</f>
        <v>0+</v>
      </c>
      <c r="M6" s="162" t="str">
        <f t="shared" si="24"/>
        <v>0+</v>
      </c>
      <c r="N6" s="162" t="str">
        <f t="shared" si="24"/>
        <v>0+</v>
      </c>
      <c r="O6" s="311">
        <f>IFERROR((IF(AV6="YES",(VLOOKUP($BO$1&amp;C6,Teams!D:M,7,0)),AW6)),"")</f>
        <v>0</v>
      </c>
      <c r="P6" s="312"/>
      <c r="Q6" s="312"/>
      <c r="R6" s="312"/>
      <c r="S6" s="312"/>
      <c r="T6" s="312"/>
      <c r="U6" s="312"/>
      <c r="V6" s="312"/>
      <c r="W6" s="312"/>
      <c r="X6" s="313"/>
      <c r="Y6" s="293"/>
      <c r="Z6" s="294"/>
      <c r="AA6" s="293"/>
      <c r="AB6" s="294"/>
      <c r="AC6" s="293"/>
      <c r="AD6" s="294"/>
      <c r="AE6" s="293"/>
      <c r="AF6" s="294"/>
      <c r="AG6" s="293"/>
      <c r="AH6" s="294"/>
      <c r="AI6" s="293"/>
      <c r="AJ6" s="294"/>
      <c r="AK6" s="295">
        <f t="shared" si="2"/>
        <v>0</v>
      </c>
      <c r="AL6" s="296"/>
      <c r="AM6" s="163">
        <f t="shared" si="17"/>
        <v>0</v>
      </c>
      <c r="AN6" s="297">
        <f>IFERROR((VLOOKUP($BO$1&amp;C6,Teams!D:M,8,0))+AK6,0)</f>
        <v>0</v>
      </c>
      <c r="AO6" s="298"/>
      <c r="AP6" s="314"/>
      <c r="AQ6" s="4">
        <f>IFERROR((((VLOOKUP($BO$1&amp;C6,Teams!D:M,9,0)+(AK6/1000)))),0)</f>
        <v>0</v>
      </c>
      <c r="AR6" s="5">
        <f>IFERROR((VLOOKUP($BO$1&amp;C6,Teams!D:N,11,0)),0)</f>
        <v>0</v>
      </c>
      <c r="AS6" s="152" t="str">
        <f t="shared" si="3"/>
        <v/>
      </c>
      <c r="AT6" s="152" t="str">
        <f t="shared" si="4"/>
        <v/>
      </c>
      <c r="AU6" s="152" t="str">
        <f t="shared" si="5"/>
        <v/>
      </c>
      <c r="AV6" s="5" t="str">
        <f t="shared" si="6"/>
        <v>YES</v>
      </c>
      <c r="AW6" s="5" t="str">
        <f t="shared" si="7"/>
        <v/>
      </c>
      <c r="AX6" s="11" t="str">
        <f t="shared" si="8"/>
        <v/>
      </c>
      <c r="AY6" s="11" t="str">
        <f t="shared" si="9"/>
        <v/>
      </c>
      <c r="AZ6" s="11" t="str">
        <f t="shared" si="10"/>
        <v/>
      </c>
      <c r="BA6" s="11" t="str">
        <f t="shared" si="11"/>
        <v/>
      </c>
      <c r="BB6" s="11"/>
      <c r="BC6" s="11"/>
      <c r="BD6" s="11" t="str">
        <f t="shared" si="12"/>
        <v/>
      </c>
      <c r="BE6" s="11" t="str">
        <f t="shared" si="13"/>
        <v/>
      </c>
      <c r="BF6" s="12" t="str">
        <f t="shared" si="14"/>
        <v/>
      </c>
      <c r="BG6" s="13" t="str">
        <f>IFERROR((IF((VLOOKUP($BO$1&amp;C6,Teams!D:M,7,0))="","",", ")),"")</f>
        <v xml:space="preserve">, </v>
      </c>
      <c r="BH6" s="14" t="str">
        <f>IF(AND((VLOOKUP($BO$1&amp;C6,Teams!D:M,7,0))="",AX6=""),"",", ")</f>
        <v xml:space="preserve">, </v>
      </c>
      <c r="BI6" s="5" t="str">
        <f>$BO$1&amp;5</f>
        <v>Dark Elf5</v>
      </c>
      <c r="BJ6" s="14" t="str">
        <f>IFERROR(IF((VLOOKUP(BI6,Teams!B:C,2,FALSE))=0,"",(VLOOKUP(BI6,Teams!B:C,2,FALSE))),"")</f>
        <v>Blitzer</v>
      </c>
      <c r="BK6" s="5"/>
      <c r="BL6" s="5" t="s">
        <v>50</v>
      </c>
      <c r="BM6" s="161" t="str">
        <f t="shared" si="18"/>
        <v>Chaos Dwarf</v>
      </c>
      <c r="BN6" s="5" t="s">
        <v>51</v>
      </c>
      <c r="BO6" s="5"/>
      <c r="BP6" s="5">
        <v>70000</v>
      </c>
      <c r="BQ6" s="5">
        <v>50000</v>
      </c>
      <c r="BR6" s="5">
        <v>1</v>
      </c>
      <c r="BS6" s="179"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7" t="s">
        <v>50</v>
      </c>
      <c r="BZ6" s="207" t="s">
        <v>53</v>
      </c>
      <c r="CA6" s="60" t="s">
        <v>54</v>
      </c>
      <c r="CB6" s="4" t="s">
        <v>55</v>
      </c>
      <c r="CC6" s="4"/>
      <c r="CD6" s="4"/>
      <c r="CE6" s="200" t="s">
        <v>50</v>
      </c>
      <c r="CF6" s="200" t="s">
        <v>47</v>
      </c>
      <c r="CG6" s="200" t="s">
        <v>59</v>
      </c>
      <c r="CH6" s="200" t="s">
        <v>70</v>
      </c>
      <c r="CI6" s="5"/>
      <c r="CJ6" s="5"/>
      <c r="CK6" s="5"/>
      <c r="CL6" s="5"/>
      <c r="CM6" s="5"/>
      <c r="CN6" s="5"/>
      <c r="CO6" s="5"/>
      <c r="CP6" s="5"/>
      <c r="CQ6" s="5"/>
      <c r="CR6" s="5"/>
      <c r="CS6" s="5"/>
      <c r="CT6" s="5"/>
      <c r="CU6" s="5"/>
      <c r="CV6" s="5"/>
      <c r="CW6" s="5"/>
      <c r="CX6" s="5"/>
      <c r="CY6" s="5"/>
      <c r="CZ6" s="5"/>
    </row>
    <row r="7" spans="1:104" ht="37.5" customHeight="1">
      <c r="A7" s="2">
        <v>6</v>
      </c>
      <c r="B7" s="7"/>
      <c r="C7" s="329"/>
      <c r="D7" s="330"/>
      <c r="E7" s="330"/>
      <c r="F7" s="331"/>
      <c r="G7" s="8">
        <f>IF(C7="",0,(COUNTIF(C2:F17,C7)))</f>
        <v>0</v>
      </c>
      <c r="H7" s="9" t="s">
        <v>25</v>
      </c>
      <c r="I7" s="10">
        <f>IFERROR((VLOOKUP($BO$1&amp;C7,Teams!D:M,10,0)),0)</f>
        <v>0</v>
      </c>
      <c r="J7" s="162">
        <f t="shared" ref="J7:K7" si="25">IFERROR(K71,0)</f>
        <v>0</v>
      </c>
      <c r="K7" s="162">
        <f t="shared" si="25"/>
        <v>0</v>
      </c>
      <c r="L7" s="162" t="str">
        <f t="shared" ref="L7:N7" si="26">IFERROR(M71&amp;"+",0)</f>
        <v>0+</v>
      </c>
      <c r="M7" s="162" t="str">
        <f t="shared" si="26"/>
        <v>0+</v>
      </c>
      <c r="N7" s="162" t="str">
        <f t="shared" si="26"/>
        <v>0+</v>
      </c>
      <c r="O7" s="311">
        <f>IFERROR((IF(AV7="YES",(VLOOKUP($BO$1&amp;C7,Teams!D:M,7,0)),AW7)),"")</f>
        <v>0</v>
      </c>
      <c r="P7" s="312"/>
      <c r="Q7" s="312"/>
      <c r="R7" s="312"/>
      <c r="S7" s="312"/>
      <c r="T7" s="312"/>
      <c r="U7" s="312"/>
      <c r="V7" s="312"/>
      <c r="W7" s="312"/>
      <c r="X7" s="313"/>
      <c r="Y7" s="293"/>
      <c r="Z7" s="294"/>
      <c r="AA7" s="293"/>
      <c r="AB7" s="294"/>
      <c r="AC7" s="293"/>
      <c r="AD7" s="294"/>
      <c r="AE7" s="293"/>
      <c r="AF7" s="294"/>
      <c r="AG7" s="293"/>
      <c r="AH7" s="294"/>
      <c r="AI7" s="293"/>
      <c r="AJ7" s="294"/>
      <c r="AK7" s="295">
        <f t="shared" si="2"/>
        <v>0</v>
      </c>
      <c r="AL7" s="296"/>
      <c r="AM7" s="163">
        <f t="shared" si="17"/>
        <v>0</v>
      </c>
      <c r="AN7" s="297">
        <f>IFERROR((VLOOKUP($BO$1&amp;C7,Teams!D:M,8,0))+AK7,0)</f>
        <v>0</v>
      </c>
      <c r="AO7" s="298"/>
      <c r="AP7" s="314"/>
      <c r="AQ7" s="4">
        <f>IFERROR((((VLOOKUP($BO$1&amp;C7,Teams!D:M,9,0)+(AK7/1000)))),0)</f>
        <v>0</v>
      </c>
      <c r="AR7" s="5">
        <f>IFERROR((VLOOKUP($BO$1&amp;C7,Teams!D:N,11,0)),0)</f>
        <v>0</v>
      </c>
      <c r="AS7" s="152" t="str">
        <f t="shared" si="3"/>
        <v/>
      </c>
      <c r="AT7" s="152" t="str">
        <f t="shared" si="4"/>
        <v/>
      </c>
      <c r="AU7" s="152" t="str">
        <f t="shared" si="5"/>
        <v/>
      </c>
      <c r="AV7" s="5" t="str">
        <f t="shared" si="6"/>
        <v>YES</v>
      </c>
      <c r="AW7" s="5" t="str">
        <f t="shared" si="7"/>
        <v/>
      </c>
      <c r="AX7" s="11" t="str">
        <f t="shared" si="8"/>
        <v/>
      </c>
      <c r="AY7" s="11" t="str">
        <f t="shared" si="9"/>
        <v/>
      </c>
      <c r="AZ7" s="11" t="str">
        <f t="shared" si="10"/>
        <v/>
      </c>
      <c r="BA7" s="11" t="str">
        <f t="shared" si="11"/>
        <v/>
      </c>
      <c r="BB7" s="11"/>
      <c r="BC7" s="11"/>
      <c r="BD7" s="11" t="str">
        <f t="shared" si="12"/>
        <v/>
      </c>
      <c r="BE7" s="11" t="str">
        <f t="shared" si="13"/>
        <v/>
      </c>
      <c r="BF7" s="12" t="str">
        <f t="shared" si="14"/>
        <v/>
      </c>
      <c r="BG7" s="13" t="str">
        <f>IFERROR((IF((VLOOKUP($BO$1&amp;C7,Teams!D:M,7,0))="","",", ")),"")</f>
        <v xml:space="preserve">, </v>
      </c>
      <c r="BH7" s="14" t="str">
        <f>IF(AND((VLOOKUP($BO$1&amp;C7,Teams!D:M,7,0))="",AX7=""),"",", ")</f>
        <v xml:space="preserve">, </v>
      </c>
      <c r="BI7" s="5" t="str">
        <f>$BO$1&amp;6</f>
        <v>Dark Elf6</v>
      </c>
      <c r="BJ7" s="14" t="str">
        <f>IFERROR(IF((VLOOKUP(BI7,Teams!B:C,2,FALSE))=0,"",(VLOOKUP(BI7,Teams!B:C,2,FALSE))),"")</f>
        <v>Witch Elf</v>
      </c>
      <c r="BK7" s="5"/>
      <c r="BL7" s="5" t="s">
        <v>56</v>
      </c>
      <c r="BM7" s="161" t="str">
        <f t="shared" si="18"/>
        <v>Chaos Renegades</v>
      </c>
      <c r="BN7" s="5" t="s">
        <v>57</v>
      </c>
      <c r="BO7" s="5"/>
      <c r="BP7" s="5">
        <v>70000</v>
      </c>
      <c r="BQ7" s="5">
        <v>50000</v>
      </c>
      <c r="BR7" s="5">
        <v>3</v>
      </c>
      <c r="BS7" s="179" t="str">
        <f>IF($J$24="Español","Elegido de…",(IF($J$24="Deutsch","Auserwählte des…",(IF($J$24="Français","Favoris de...","Favoured of…")))))</f>
        <v>Favoured of…</v>
      </c>
      <c r="BT7" s="6" t="s">
        <v>46</v>
      </c>
      <c r="BU7" s="6"/>
      <c r="BV7" s="6"/>
      <c r="BW7" s="6"/>
      <c r="BX7" s="6"/>
      <c r="BY7" s="207" t="s">
        <v>56</v>
      </c>
      <c r="BZ7" s="207" t="s">
        <v>58</v>
      </c>
      <c r="CA7" s="60" t="s">
        <v>59</v>
      </c>
      <c r="CB7" s="4" t="s">
        <v>60</v>
      </c>
      <c r="CC7" s="17"/>
      <c r="CD7" s="4"/>
      <c r="CE7" s="200" t="s">
        <v>56</v>
      </c>
      <c r="CF7" s="200" t="s">
        <v>68</v>
      </c>
      <c r="CG7" s="200" t="s">
        <v>54</v>
      </c>
      <c r="CH7" s="200" t="s">
        <v>189</v>
      </c>
      <c r="CI7" s="5"/>
      <c r="CJ7" s="5"/>
      <c r="CK7" s="5"/>
      <c r="CL7" s="5"/>
      <c r="CM7" s="5"/>
      <c r="CN7" s="5"/>
      <c r="CO7" s="5"/>
      <c r="CP7" s="5"/>
      <c r="CQ7" s="5"/>
      <c r="CR7" s="5"/>
      <c r="CS7" s="5"/>
      <c r="CT7" s="5"/>
      <c r="CU7" s="5"/>
      <c r="CV7" s="5"/>
      <c r="CW7" s="5"/>
      <c r="CX7" s="5"/>
      <c r="CY7" s="5"/>
      <c r="CZ7" s="5"/>
    </row>
    <row r="8" spans="1:104" ht="37.5" customHeight="1">
      <c r="A8" s="2">
        <v>7</v>
      </c>
      <c r="B8" s="7"/>
      <c r="C8" s="329"/>
      <c r="D8" s="330"/>
      <c r="E8" s="330"/>
      <c r="F8" s="331"/>
      <c r="G8" s="8">
        <f>IF(C8="",0,(COUNTIF(C2:F17,C8)))</f>
        <v>0</v>
      </c>
      <c r="H8" s="9" t="s">
        <v>25</v>
      </c>
      <c r="I8" s="10">
        <f>IFERROR((VLOOKUP($BO$1&amp;C8,Teams!D:M,10,0)),0)</f>
        <v>0</v>
      </c>
      <c r="J8" s="162">
        <f t="shared" ref="J8:K8" si="27">IFERROR(K72,0)</f>
        <v>0</v>
      </c>
      <c r="K8" s="162">
        <f t="shared" si="27"/>
        <v>0</v>
      </c>
      <c r="L8" s="162" t="str">
        <f t="shared" ref="L8:N8" si="28">IFERROR(M72&amp;"+",0)</f>
        <v>0+</v>
      </c>
      <c r="M8" s="162" t="str">
        <f t="shared" si="28"/>
        <v>0+</v>
      </c>
      <c r="N8" s="162" t="str">
        <f t="shared" si="28"/>
        <v>0+</v>
      </c>
      <c r="O8" s="311">
        <f>IFERROR((IF(AV8="YES",(VLOOKUP($BO$1&amp;C8,Teams!D:M,7,0)),AW8)),"")</f>
        <v>0</v>
      </c>
      <c r="P8" s="312"/>
      <c r="Q8" s="312"/>
      <c r="R8" s="312"/>
      <c r="S8" s="312"/>
      <c r="T8" s="312"/>
      <c r="U8" s="312"/>
      <c r="V8" s="312"/>
      <c r="W8" s="312"/>
      <c r="X8" s="313"/>
      <c r="Y8" s="293"/>
      <c r="Z8" s="294"/>
      <c r="AA8" s="293"/>
      <c r="AB8" s="294"/>
      <c r="AC8" s="293"/>
      <c r="AD8" s="294"/>
      <c r="AE8" s="293"/>
      <c r="AF8" s="294"/>
      <c r="AG8" s="293"/>
      <c r="AH8" s="294"/>
      <c r="AI8" s="293"/>
      <c r="AJ8" s="294"/>
      <c r="AK8" s="295">
        <f t="shared" si="2"/>
        <v>0</v>
      </c>
      <c r="AL8" s="296"/>
      <c r="AM8" s="163">
        <f t="shared" si="17"/>
        <v>0</v>
      </c>
      <c r="AN8" s="297">
        <f>IFERROR((VLOOKUP($BO$1&amp;C8,Teams!D:M,8,0))+AK8,0)</f>
        <v>0</v>
      </c>
      <c r="AO8" s="298"/>
      <c r="AP8" s="314"/>
      <c r="AQ8" s="4">
        <f>IFERROR((((VLOOKUP($BO$1&amp;C8,Teams!D:M,9,0)+(AK8/1000)))),0)</f>
        <v>0</v>
      </c>
      <c r="AR8" s="5">
        <f>IFERROR((VLOOKUP($BO$1&amp;C8,Teams!D:N,11,0)),0)</f>
        <v>0</v>
      </c>
      <c r="AS8" s="152" t="str">
        <f t="shared" si="3"/>
        <v/>
      </c>
      <c r="AT8" s="152" t="str">
        <f t="shared" si="4"/>
        <v/>
      </c>
      <c r="AU8" s="152" t="str">
        <f t="shared" si="5"/>
        <v/>
      </c>
      <c r="AV8" s="5" t="str">
        <f t="shared" si="6"/>
        <v>YES</v>
      </c>
      <c r="AW8" s="5" t="str">
        <f t="shared" si="7"/>
        <v/>
      </c>
      <c r="AX8" s="11" t="str">
        <f t="shared" si="8"/>
        <v/>
      </c>
      <c r="AY8" s="11" t="str">
        <f t="shared" si="9"/>
        <v/>
      </c>
      <c r="AZ8" s="11" t="str">
        <f t="shared" si="10"/>
        <v/>
      </c>
      <c r="BA8" s="11" t="str">
        <f t="shared" si="11"/>
        <v/>
      </c>
      <c r="BB8" s="11"/>
      <c r="BC8" s="11"/>
      <c r="BD8" s="11" t="str">
        <f t="shared" si="12"/>
        <v/>
      </c>
      <c r="BE8" s="11" t="str">
        <f t="shared" si="13"/>
        <v/>
      </c>
      <c r="BF8" s="12" t="str">
        <f t="shared" si="14"/>
        <v/>
      </c>
      <c r="BG8" s="13" t="str">
        <f>IFERROR((IF((VLOOKUP($BO$1&amp;C8,Teams!D:M,7,0))="","",", ")),"")</f>
        <v xml:space="preserve">, </v>
      </c>
      <c r="BH8" s="14" t="str">
        <f>IF(AND((VLOOKUP($BO$1&amp;C8,Teams!D:M,7,0))="",AX8=""),"",", ")</f>
        <v xml:space="preserve">, </v>
      </c>
      <c r="BI8" s="5" t="str">
        <f>$BO$1&amp;7</f>
        <v>Dark Elf7</v>
      </c>
      <c r="BJ8" s="14" t="str">
        <f>IFERROR(IF((VLOOKUP(BI8,Teams!B:C,2,FALSE))=0,"",(VLOOKUP(BI8,Teams!B:C,2,FALSE))),"")</f>
        <v>Journey Elf</v>
      </c>
      <c r="BK8" s="5"/>
      <c r="BL8" s="5" t="s">
        <v>65</v>
      </c>
      <c r="BM8" s="161" t="str">
        <f t="shared" si="18"/>
        <v>Dark Elf</v>
      </c>
      <c r="BN8" s="5" t="s">
        <v>66</v>
      </c>
      <c r="BO8" s="5"/>
      <c r="BP8" s="5">
        <v>50000</v>
      </c>
      <c r="BQ8" s="5">
        <v>50000</v>
      </c>
      <c r="BR8" s="5">
        <v>0</v>
      </c>
      <c r="BS8" s="179" t="str">
        <f>IF($J$24="Español","Liga de los Reinos Elfos",(IF($J$24="Deutsch","Liga der Elfenkönigreiche",(IF($J$24="Français","Ligue des Royaumes Elfiques","Elven Kingdoms League")))))</f>
        <v>Elven Kingdoms League</v>
      </c>
      <c r="BT8" s="6" t="s">
        <v>67</v>
      </c>
      <c r="BU8" s="6"/>
      <c r="BV8" s="6"/>
      <c r="BW8" s="6"/>
      <c r="BX8" s="6"/>
      <c r="BY8" s="207" t="s">
        <v>65</v>
      </c>
      <c r="BZ8" s="207" t="s">
        <v>68</v>
      </c>
      <c r="CA8" s="207" t="s">
        <v>69</v>
      </c>
      <c r="CB8" s="207" t="s">
        <v>70</v>
      </c>
      <c r="CC8" s="207"/>
      <c r="CD8" s="4"/>
      <c r="CE8" s="200" t="s">
        <v>65</v>
      </c>
      <c r="CF8" s="200" t="s">
        <v>78</v>
      </c>
      <c r="CG8" s="200" t="s">
        <v>69</v>
      </c>
      <c r="CH8" s="200" t="s">
        <v>49</v>
      </c>
      <c r="CI8" s="5"/>
      <c r="CJ8" s="5"/>
      <c r="CK8" s="5"/>
      <c r="CL8" s="5"/>
      <c r="CM8" s="5"/>
      <c r="CN8" s="5"/>
      <c r="CO8" s="5"/>
      <c r="CP8" s="5"/>
      <c r="CQ8" s="5"/>
      <c r="CR8" s="5"/>
      <c r="CS8" s="5"/>
      <c r="CT8" s="5"/>
      <c r="CU8" s="5"/>
      <c r="CV8" s="5"/>
      <c r="CW8" s="5"/>
      <c r="CX8" s="5"/>
      <c r="CY8" s="5"/>
      <c r="CZ8" s="5"/>
    </row>
    <row r="9" spans="1:104" ht="37.5" customHeight="1">
      <c r="A9" s="2">
        <v>8</v>
      </c>
      <c r="B9" s="7" t="s">
        <v>1379</v>
      </c>
      <c r="C9" s="329" t="s">
        <v>391</v>
      </c>
      <c r="D9" s="330"/>
      <c r="E9" s="330"/>
      <c r="F9" s="331"/>
      <c r="G9" s="8">
        <f>IF(C9="",0,(COUNTIF(C2:F17,C9)))</f>
        <v>8</v>
      </c>
      <c r="H9" s="9" t="s">
        <v>25</v>
      </c>
      <c r="I9" s="10">
        <f>IFERROR((VLOOKUP($BO$1&amp;C9,Teams!D:M,10,0)),0)</f>
        <v>16</v>
      </c>
      <c r="J9" s="162">
        <f t="shared" ref="J9:K9" si="29">IFERROR(K73,0)</f>
        <v>6</v>
      </c>
      <c r="K9" s="162">
        <f t="shared" si="29"/>
        <v>3</v>
      </c>
      <c r="L9" s="162" t="str">
        <f t="shared" ref="L9:N9" si="30">IFERROR(M73&amp;"+",0)</f>
        <v>2+</v>
      </c>
      <c r="M9" s="162" t="str">
        <f t="shared" si="30"/>
        <v>4+</v>
      </c>
      <c r="N9" s="162" t="str">
        <f t="shared" si="30"/>
        <v>9+</v>
      </c>
      <c r="O9" s="311" t="str">
        <f>IFERROR((IF(AV9="YES",(VLOOKUP($BO$1&amp;C9,Teams!D:M,7,0)),AW9)),"")</f>
        <v/>
      </c>
      <c r="P9" s="312"/>
      <c r="Q9" s="312"/>
      <c r="R9" s="312"/>
      <c r="S9" s="312"/>
      <c r="T9" s="312"/>
      <c r="U9" s="312"/>
      <c r="V9" s="312"/>
      <c r="W9" s="312"/>
      <c r="X9" s="313"/>
      <c r="Y9" s="293" t="s">
        <v>266</v>
      </c>
      <c r="Z9" s="294"/>
      <c r="AA9" s="293"/>
      <c r="AB9" s="294"/>
      <c r="AC9" s="293"/>
      <c r="AD9" s="294"/>
      <c r="AE9" s="293"/>
      <c r="AF9" s="294"/>
      <c r="AG9" s="293"/>
      <c r="AH9" s="294"/>
      <c r="AI9" s="293"/>
      <c r="AJ9" s="294"/>
      <c r="AK9" s="295">
        <f t="shared" si="2"/>
        <v>0</v>
      </c>
      <c r="AL9" s="296"/>
      <c r="AM9" s="163">
        <f t="shared" si="17"/>
        <v>0</v>
      </c>
      <c r="AN9" s="297">
        <f>IFERROR((VLOOKUP($BO$1&amp;C9,Teams!D:M,8,0))+AK9,0)</f>
        <v>70000</v>
      </c>
      <c r="AO9" s="298"/>
      <c r="AP9" s="314"/>
      <c r="AQ9" s="4">
        <f>IFERROR((((VLOOKUP($BO$1&amp;C9,Teams!D:M,9,0)+(AK9/1000)))),0)</f>
        <v>70</v>
      </c>
      <c r="AR9" s="5">
        <f>IFERROR((VLOOKUP($BO$1&amp;C9,Teams!D:N,11,0)),0)</f>
        <v>0</v>
      </c>
      <c r="AS9" s="152" t="str">
        <f t="shared" si="3"/>
        <v/>
      </c>
      <c r="AT9" s="152" t="str">
        <f t="shared" si="4"/>
        <v/>
      </c>
      <c r="AU9" s="152" t="str">
        <f t="shared" si="5"/>
        <v/>
      </c>
      <c r="AV9" s="5" t="str">
        <f t="shared" si="6"/>
        <v>YES</v>
      </c>
      <c r="AW9" s="5" t="str">
        <f t="shared" si="7"/>
        <v/>
      </c>
      <c r="AX9" s="11" t="str">
        <f t="shared" si="8"/>
        <v>Dodge</v>
      </c>
      <c r="AY9" s="11" t="str">
        <f t="shared" si="9"/>
        <v/>
      </c>
      <c r="AZ9" s="11" t="str">
        <f t="shared" si="10"/>
        <v/>
      </c>
      <c r="BA9" s="11" t="str">
        <f t="shared" si="11"/>
        <v/>
      </c>
      <c r="BB9" s="11"/>
      <c r="BC9" s="11"/>
      <c r="BD9" s="11" t="str">
        <f t="shared" si="12"/>
        <v/>
      </c>
      <c r="BE9" s="11" t="str">
        <f t="shared" si="13"/>
        <v/>
      </c>
      <c r="BF9" s="12" t="str">
        <f t="shared" si="14"/>
        <v>Dodge</v>
      </c>
      <c r="BG9" s="13" t="str">
        <f>IFERROR((IF((VLOOKUP($BO$1&amp;C9,Teams!D:M,7,0))="","",", ")),"")</f>
        <v/>
      </c>
      <c r="BH9" s="14" t="str">
        <f>IF(AND((VLOOKUP($BO$1&amp;C9,Teams!D:M,7,0))="",AX9=""),"",", ")</f>
        <v xml:space="preserve">, </v>
      </c>
      <c r="BI9" s="5" t="str">
        <f>$BO$1&amp;8</f>
        <v>Dark Elf8</v>
      </c>
      <c r="BJ9" s="14" t="str">
        <f>IFERROR(IF((VLOOKUP(BI9,Teams!B:C,2,FALSE))=0,"",(VLOOKUP(BI9,Teams!B:C,2,FALSE))),"")</f>
        <v/>
      </c>
      <c r="BK9" s="5"/>
      <c r="BL9" s="5" t="s">
        <v>71</v>
      </c>
      <c r="BM9" s="161" t="str">
        <f t="shared" si="18"/>
        <v>Dwarf</v>
      </c>
      <c r="BN9" s="5" t="s">
        <v>71</v>
      </c>
      <c r="BO9" s="5"/>
      <c r="BP9" s="5">
        <v>50000</v>
      </c>
      <c r="BQ9" s="5">
        <v>50000</v>
      </c>
      <c r="BR9" s="5">
        <v>1</v>
      </c>
      <c r="BS9" s="179"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7" t="s">
        <v>71</v>
      </c>
      <c r="BZ9" s="207" t="s">
        <v>73</v>
      </c>
      <c r="CA9" s="207" t="s">
        <v>74</v>
      </c>
      <c r="CB9" s="207" t="s">
        <v>75</v>
      </c>
      <c r="CC9" s="207"/>
      <c r="CD9" s="4"/>
      <c r="CE9" s="200" t="s">
        <v>71</v>
      </c>
      <c r="CF9" s="200" t="s">
        <v>187</v>
      </c>
      <c r="CG9" s="200" t="s">
        <v>79</v>
      </c>
      <c r="CH9" s="200" t="s">
        <v>85</v>
      </c>
      <c r="CI9" s="5"/>
      <c r="CJ9" s="5"/>
      <c r="CK9" s="5"/>
      <c r="CL9" s="5"/>
      <c r="CM9" s="5"/>
      <c r="CN9" s="5"/>
      <c r="CO9" s="5"/>
      <c r="CP9" s="5"/>
      <c r="CQ9" s="5"/>
      <c r="CR9" s="5"/>
      <c r="CS9" s="5"/>
      <c r="CT9" s="5"/>
      <c r="CU9" s="5"/>
      <c r="CV9" s="5"/>
      <c r="CW9" s="5"/>
      <c r="CX9" s="5"/>
      <c r="CY9" s="5"/>
      <c r="CZ9" s="5"/>
    </row>
    <row r="10" spans="1:104" ht="37.5" customHeight="1">
      <c r="A10" s="2">
        <v>9</v>
      </c>
      <c r="B10" s="7" t="s">
        <v>1380</v>
      </c>
      <c r="C10" s="329" t="s">
        <v>391</v>
      </c>
      <c r="D10" s="330"/>
      <c r="E10" s="330"/>
      <c r="F10" s="331"/>
      <c r="G10" s="8">
        <f>IF(C10="",0,(COUNTIF(C2:F17,C10)))</f>
        <v>8</v>
      </c>
      <c r="H10" s="9" t="s">
        <v>25</v>
      </c>
      <c r="I10" s="10">
        <f>IFERROR((VLOOKUP($BO$1&amp;C10,Teams!D:M,10,0)),0)</f>
        <v>16</v>
      </c>
      <c r="J10" s="162">
        <f t="shared" ref="J10:K10" si="31">IFERROR(K74,0)</f>
        <v>6</v>
      </c>
      <c r="K10" s="162">
        <f t="shared" si="31"/>
        <v>3</v>
      </c>
      <c r="L10" s="162" t="str">
        <f t="shared" ref="L10:N10" si="32">IFERROR(M74&amp;"+",0)</f>
        <v>2+</v>
      </c>
      <c r="M10" s="162" t="str">
        <f t="shared" si="32"/>
        <v>4+</v>
      </c>
      <c r="N10" s="162" t="str">
        <f t="shared" si="32"/>
        <v>9+</v>
      </c>
      <c r="O10" s="311" t="str">
        <f>IFERROR((IF(AV10="YES",(VLOOKUP($BO$1&amp;C10,Teams!D:M,7,0)),AW10)),"")</f>
        <v/>
      </c>
      <c r="P10" s="312"/>
      <c r="Q10" s="312"/>
      <c r="R10" s="312"/>
      <c r="S10" s="312"/>
      <c r="T10" s="312"/>
      <c r="U10" s="312"/>
      <c r="V10" s="312"/>
      <c r="W10" s="312"/>
      <c r="X10" s="313"/>
      <c r="Y10" s="293" t="s">
        <v>266</v>
      </c>
      <c r="Z10" s="294"/>
      <c r="AA10" s="293"/>
      <c r="AB10" s="294"/>
      <c r="AC10" s="293"/>
      <c r="AD10" s="294"/>
      <c r="AE10" s="293"/>
      <c r="AF10" s="294"/>
      <c r="AG10" s="293"/>
      <c r="AH10" s="294"/>
      <c r="AI10" s="293"/>
      <c r="AJ10" s="294"/>
      <c r="AK10" s="295">
        <f t="shared" si="2"/>
        <v>0</v>
      </c>
      <c r="AL10" s="296"/>
      <c r="AM10" s="163">
        <f t="shared" si="17"/>
        <v>0</v>
      </c>
      <c r="AN10" s="297">
        <f>IFERROR((VLOOKUP($BO$1&amp;C10,Teams!D:M,8,0))+AK10,0)</f>
        <v>70000</v>
      </c>
      <c r="AO10" s="298"/>
      <c r="AP10" s="314"/>
      <c r="AQ10" s="4">
        <f>IFERROR((((VLOOKUP($BO$1&amp;C10,Teams!D:M,9,0)+(AK10/1000)))),0)</f>
        <v>70</v>
      </c>
      <c r="AR10" s="5">
        <f>IFERROR((VLOOKUP($BO$1&amp;C10,Teams!D:N,11,0)),0)</f>
        <v>0</v>
      </c>
      <c r="AS10" s="152" t="str">
        <f t="shared" si="3"/>
        <v/>
      </c>
      <c r="AT10" s="152" t="str">
        <f t="shared" si="4"/>
        <v/>
      </c>
      <c r="AU10" s="152" t="str">
        <f t="shared" si="5"/>
        <v/>
      </c>
      <c r="AV10" s="5" t="str">
        <f t="shared" si="6"/>
        <v>YES</v>
      </c>
      <c r="AW10" s="5" t="str">
        <f t="shared" si="7"/>
        <v/>
      </c>
      <c r="AX10" s="11" t="str">
        <f t="shared" si="8"/>
        <v>Dodge</v>
      </c>
      <c r="AY10" s="11" t="str">
        <f t="shared" si="9"/>
        <v/>
      </c>
      <c r="AZ10" s="11" t="str">
        <f t="shared" si="10"/>
        <v/>
      </c>
      <c r="BA10" s="11" t="str">
        <f t="shared" si="11"/>
        <v/>
      </c>
      <c r="BB10" s="11"/>
      <c r="BC10" s="11"/>
      <c r="BD10" s="11" t="str">
        <f t="shared" si="12"/>
        <v/>
      </c>
      <c r="BE10" s="11" t="str">
        <f t="shared" si="13"/>
        <v/>
      </c>
      <c r="BF10" s="12" t="str">
        <f t="shared" si="14"/>
        <v>Dodge</v>
      </c>
      <c r="BG10" s="13" t="str">
        <f>IFERROR((IF((VLOOKUP($BO$1&amp;C10,Teams!D:M,7,0))="","",", ")),"")</f>
        <v/>
      </c>
      <c r="BH10" s="14" t="str">
        <f>IF(AND((VLOOKUP($BO$1&amp;C10,Teams!D:M,7,0))="",AX10=""),"",", ")</f>
        <v xml:space="preserve">, </v>
      </c>
      <c r="BI10" s="5" t="str">
        <f>$BO$1&amp;9</f>
        <v>Dark Elf9</v>
      </c>
      <c r="BJ10" s="14" t="str">
        <f>IFERROR(IF((VLOOKUP(BI10,Teams!B:C,2,FALSE))=0,"",(VLOOKUP(BI10,Teams!B:C,2,FALSE))),"")</f>
        <v/>
      </c>
      <c r="BK10" s="5"/>
      <c r="BL10" s="5" t="s">
        <v>76</v>
      </c>
      <c r="BM10" s="161" t="str">
        <f t="shared" si="18"/>
        <v>Elven Union</v>
      </c>
      <c r="BN10" s="5" t="s">
        <v>77</v>
      </c>
      <c r="BO10" s="5"/>
      <c r="BP10" s="5">
        <v>50000</v>
      </c>
      <c r="BQ10" s="5">
        <v>50000</v>
      </c>
      <c r="BR10" s="5">
        <v>0</v>
      </c>
      <c r="BS10" s="179" t="str">
        <f>IF($J$24="Español","Liga de los Reinos Elfos",(IF($J$24="Deutsch","Liga der Elfenkönigreiche",(IF($J$24="Français","Ligue des Royaumes Elfiques","Elven Kingdoms League")))))</f>
        <v>Elven Kingdoms League</v>
      </c>
      <c r="BT10" s="6" t="s">
        <v>67</v>
      </c>
      <c r="BU10" s="6"/>
      <c r="BV10" s="6"/>
      <c r="BW10" s="6"/>
      <c r="BX10" s="6"/>
      <c r="BY10" s="207" t="s">
        <v>76</v>
      </c>
      <c r="BZ10" s="207" t="s">
        <v>78</v>
      </c>
      <c r="CA10" s="207" t="s">
        <v>79</v>
      </c>
      <c r="CB10" s="207" t="s">
        <v>80</v>
      </c>
      <c r="CC10" s="207"/>
      <c r="CD10" s="4"/>
      <c r="CE10" s="200" t="s">
        <v>76</v>
      </c>
      <c r="CF10" s="200" t="s">
        <v>73</v>
      </c>
      <c r="CG10" s="200" t="s">
        <v>84</v>
      </c>
      <c r="CH10" s="200" t="s">
        <v>90</v>
      </c>
      <c r="CI10" s="5"/>
      <c r="CJ10" s="5"/>
      <c r="CK10" s="5"/>
      <c r="CL10" s="5"/>
      <c r="CM10" s="5"/>
      <c r="CN10" s="5"/>
      <c r="CO10" s="5"/>
      <c r="CP10" s="5"/>
      <c r="CQ10" s="5"/>
      <c r="CR10" s="5"/>
      <c r="CS10" s="5"/>
      <c r="CT10" s="5"/>
      <c r="CU10" s="5"/>
      <c r="CV10" s="5"/>
      <c r="CW10" s="5"/>
      <c r="CX10" s="5"/>
      <c r="CY10" s="5"/>
      <c r="CZ10" s="5"/>
    </row>
    <row r="11" spans="1:104" ht="37.5" customHeight="1">
      <c r="A11" s="2">
        <v>10</v>
      </c>
      <c r="B11" s="7" t="s">
        <v>1381</v>
      </c>
      <c r="C11" s="329" t="s">
        <v>391</v>
      </c>
      <c r="D11" s="330"/>
      <c r="E11" s="330"/>
      <c r="F11" s="331"/>
      <c r="G11" s="8">
        <f>IF(C11="",0,(COUNTIF(C2:F17,C11)))</f>
        <v>8</v>
      </c>
      <c r="H11" s="9" t="s">
        <v>25</v>
      </c>
      <c r="I11" s="10">
        <f>IFERROR((VLOOKUP($BO$1&amp;C11,Teams!D:M,10,0)),0)</f>
        <v>16</v>
      </c>
      <c r="J11" s="162">
        <f t="shared" ref="J11:K11" si="33">IFERROR(K75,0)</f>
        <v>6</v>
      </c>
      <c r="K11" s="162">
        <f t="shared" si="33"/>
        <v>3</v>
      </c>
      <c r="L11" s="162" t="str">
        <f t="shared" ref="L11:N11" si="34">IFERROR(M75&amp;"+",0)</f>
        <v>2+</v>
      </c>
      <c r="M11" s="162" t="str">
        <f t="shared" si="34"/>
        <v>4+</v>
      </c>
      <c r="N11" s="162" t="str">
        <f t="shared" si="34"/>
        <v>9+</v>
      </c>
      <c r="O11" s="311" t="str">
        <f>IFERROR((IF(AV11="YES",(VLOOKUP($BO$1&amp;C11,Teams!D:M,7,0)),AW11)),"")</f>
        <v/>
      </c>
      <c r="P11" s="312"/>
      <c r="Q11" s="312"/>
      <c r="R11" s="312"/>
      <c r="S11" s="312"/>
      <c r="T11" s="312"/>
      <c r="U11" s="312"/>
      <c r="V11" s="312"/>
      <c r="W11" s="312"/>
      <c r="X11" s="313"/>
      <c r="Y11" s="302" t="s">
        <v>266</v>
      </c>
      <c r="Z11" s="294"/>
      <c r="AA11" s="293"/>
      <c r="AB11" s="294"/>
      <c r="AC11" s="293"/>
      <c r="AD11" s="294"/>
      <c r="AE11" s="293"/>
      <c r="AF11" s="294"/>
      <c r="AG11" s="293"/>
      <c r="AH11" s="294"/>
      <c r="AI11" s="293"/>
      <c r="AJ11" s="294"/>
      <c r="AK11" s="295">
        <f t="shared" si="2"/>
        <v>0</v>
      </c>
      <c r="AL11" s="296"/>
      <c r="AM11" s="163">
        <f t="shared" si="17"/>
        <v>0</v>
      </c>
      <c r="AN11" s="297">
        <f>IFERROR((VLOOKUP($BO$1&amp;C11,Teams!D:M,8,0))+AK11,0)</f>
        <v>70000</v>
      </c>
      <c r="AO11" s="298"/>
      <c r="AP11" s="314"/>
      <c r="AQ11" s="4">
        <f>IFERROR((((VLOOKUP($BO$1&amp;C11,Teams!D:M,9,0)+(AK11/1000)))),0)</f>
        <v>70</v>
      </c>
      <c r="AR11" s="5">
        <f>IFERROR((VLOOKUP($BO$1&amp;C11,Teams!D:N,11,0)),0)</f>
        <v>0</v>
      </c>
      <c r="AS11" s="152" t="str">
        <f t="shared" si="3"/>
        <v/>
      </c>
      <c r="AT11" s="152" t="str">
        <f t="shared" si="4"/>
        <v/>
      </c>
      <c r="AU11" s="152" t="str">
        <f t="shared" si="5"/>
        <v/>
      </c>
      <c r="AV11" s="5" t="str">
        <f t="shared" si="6"/>
        <v>YES</v>
      </c>
      <c r="AW11" s="5" t="str">
        <f t="shared" si="7"/>
        <v/>
      </c>
      <c r="AX11" s="11" t="str">
        <f t="shared" si="8"/>
        <v>Dodge</v>
      </c>
      <c r="AY11" s="11" t="str">
        <f t="shared" si="9"/>
        <v/>
      </c>
      <c r="AZ11" s="11" t="str">
        <f t="shared" si="10"/>
        <v/>
      </c>
      <c r="BA11" s="11" t="str">
        <f t="shared" si="11"/>
        <v/>
      </c>
      <c r="BB11" s="11"/>
      <c r="BC11" s="11"/>
      <c r="BD11" s="11" t="str">
        <f t="shared" si="12"/>
        <v/>
      </c>
      <c r="BE11" s="11" t="str">
        <f t="shared" si="13"/>
        <v/>
      </c>
      <c r="BF11" s="12" t="str">
        <f t="shared" si="14"/>
        <v>Dodge</v>
      </c>
      <c r="BG11" s="13" t="str">
        <f>IFERROR((IF((VLOOKUP($BO$1&amp;C11,Teams!D:M,7,0))="","",", ")),"")</f>
        <v/>
      </c>
      <c r="BH11" s="14" t="str">
        <f>IF(AND((VLOOKUP($BO$1&amp;C11,Teams!D:M,7,0))="",AX11=""),"",", ")</f>
        <v xml:space="preserve">, </v>
      </c>
      <c r="BI11" s="5" t="str">
        <f>$BO$1&amp;10</f>
        <v>Dark Elf10</v>
      </c>
      <c r="BJ11" s="14" t="str">
        <f>IFERROR(IF((VLOOKUP(BI11,Teams!B:C,2,FALSE))=0,"",(VLOOKUP(BI11,Teams!B:C,2,FALSE))),"")</f>
        <v/>
      </c>
      <c r="BK11" s="5"/>
      <c r="BL11" s="5" t="s">
        <v>81</v>
      </c>
      <c r="BM11" s="161" t="str">
        <f t="shared" si="18"/>
        <v>Goblin</v>
      </c>
      <c r="BN11" s="5" t="s">
        <v>81</v>
      </c>
      <c r="BO11" s="5"/>
      <c r="BP11" s="5">
        <v>60000</v>
      </c>
      <c r="BQ11" s="5">
        <v>50000</v>
      </c>
      <c r="BR11" s="5">
        <v>2</v>
      </c>
      <c r="BS11" s="179"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7" t="s">
        <v>81</v>
      </c>
      <c r="BZ11" s="207" t="s">
        <v>83</v>
      </c>
      <c r="CA11" s="207" t="s">
        <v>84</v>
      </c>
      <c r="CB11" s="207" t="s">
        <v>85</v>
      </c>
      <c r="CC11" s="207"/>
      <c r="CD11" s="4"/>
      <c r="CE11" s="200" t="s">
        <v>81</v>
      </c>
      <c r="CF11" s="200" t="s">
        <v>53</v>
      </c>
      <c r="CG11" s="200" t="s">
        <v>89</v>
      </c>
      <c r="CH11" s="200" t="s">
        <v>95</v>
      </c>
      <c r="CI11" s="5"/>
      <c r="CJ11" s="5"/>
      <c r="CK11" s="5"/>
      <c r="CL11" s="5"/>
      <c r="CM11" s="5"/>
      <c r="CN11" s="5"/>
      <c r="CO11" s="5"/>
      <c r="CP11" s="5"/>
      <c r="CQ11" s="5"/>
      <c r="CR11" s="5"/>
      <c r="CS11" s="5"/>
      <c r="CT11" s="5"/>
      <c r="CU11" s="5"/>
      <c r="CV11" s="5"/>
      <c r="CW11" s="5"/>
      <c r="CX11" s="5"/>
      <c r="CY11" s="5"/>
      <c r="CZ11" s="5"/>
    </row>
    <row r="12" spans="1:104" ht="37.5" customHeight="1">
      <c r="A12" s="2">
        <v>11</v>
      </c>
      <c r="B12" s="7" t="s">
        <v>1382</v>
      </c>
      <c r="C12" s="329" t="s">
        <v>391</v>
      </c>
      <c r="D12" s="330"/>
      <c r="E12" s="330"/>
      <c r="F12" s="331"/>
      <c r="G12" s="8">
        <f>IF(C12="",0,(COUNTIF(C2:F17,C12)))</f>
        <v>8</v>
      </c>
      <c r="H12" s="9" t="s">
        <v>25</v>
      </c>
      <c r="I12" s="10">
        <f>IFERROR((VLOOKUP($BO$1&amp;C12,Teams!D:M,10,0)),0)</f>
        <v>16</v>
      </c>
      <c r="J12" s="162">
        <f t="shared" ref="J12:K12" si="35">IFERROR(K76,0)</f>
        <v>6</v>
      </c>
      <c r="K12" s="162">
        <f t="shared" si="35"/>
        <v>3</v>
      </c>
      <c r="L12" s="162" t="str">
        <f t="shared" ref="L12:N12" si="36">IFERROR(M76&amp;"+",0)</f>
        <v>2+</v>
      </c>
      <c r="M12" s="162" t="str">
        <f t="shared" si="36"/>
        <v>4+</v>
      </c>
      <c r="N12" s="162" t="str">
        <f t="shared" si="36"/>
        <v>9+</v>
      </c>
      <c r="O12" s="311" t="str">
        <f>IFERROR((IF(AV12="YES",(VLOOKUP($BO$1&amp;C12,Teams!D:M,7,0)),AW12)),"")</f>
        <v/>
      </c>
      <c r="P12" s="312"/>
      <c r="Q12" s="312"/>
      <c r="R12" s="312"/>
      <c r="S12" s="312"/>
      <c r="T12" s="312"/>
      <c r="U12" s="312"/>
      <c r="V12" s="312"/>
      <c r="W12" s="312"/>
      <c r="X12" s="313"/>
      <c r="Y12" s="293"/>
      <c r="Z12" s="294"/>
      <c r="AA12" s="293"/>
      <c r="AB12" s="294"/>
      <c r="AC12" s="293"/>
      <c r="AD12" s="294"/>
      <c r="AE12" s="293"/>
      <c r="AF12" s="294"/>
      <c r="AG12" s="293"/>
      <c r="AH12" s="294"/>
      <c r="AI12" s="293"/>
      <c r="AJ12" s="294"/>
      <c r="AK12" s="295">
        <f t="shared" si="2"/>
        <v>0</v>
      </c>
      <c r="AL12" s="296"/>
      <c r="AM12" s="163">
        <f t="shared" si="17"/>
        <v>0</v>
      </c>
      <c r="AN12" s="297">
        <f>IFERROR((VLOOKUP($BO$1&amp;C12,Teams!D:M,8,0))+AK12,0)</f>
        <v>70000</v>
      </c>
      <c r="AO12" s="298"/>
      <c r="AP12" s="314"/>
      <c r="AQ12" s="4">
        <f>IFERROR((((VLOOKUP($BO$1&amp;C12,Teams!D:M,9,0)+(AK12/1000)))),0)</f>
        <v>70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c>
      <c r="BH12" s="14" t="str">
        <f>IF(AND((VLOOKUP($BO$1&amp;C12,Teams!D:M,7,0))="",AX12=""),"",", ")</f>
        <v/>
      </c>
      <c r="BI12" s="5" t="str">
        <f>$BO$1&amp;11</f>
        <v>Dark Elf11</v>
      </c>
      <c r="BJ12" s="14" t="str">
        <f>IFERROR(IF((VLOOKUP(BI12,Teams!B:C,2,FALSE))=0,"",(VLOOKUP(BI12,Teams!B:C,2,FALSE))),"")</f>
        <v/>
      </c>
      <c r="BK12" s="5"/>
      <c r="BL12" s="5" t="s">
        <v>86</v>
      </c>
      <c r="BM12" s="161" t="str">
        <f t="shared" si="18"/>
        <v>Halfling</v>
      </c>
      <c r="BN12" s="5" t="s">
        <v>86</v>
      </c>
      <c r="BO12" s="5"/>
      <c r="BP12" s="5">
        <v>60000</v>
      </c>
      <c r="BQ12" s="5">
        <v>50000</v>
      </c>
      <c r="BR12" s="5">
        <v>2</v>
      </c>
      <c r="BS12" s="179"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7" t="s">
        <v>86</v>
      </c>
      <c r="BZ12" s="207" t="s">
        <v>88</v>
      </c>
      <c r="CA12" s="207" t="s">
        <v>89</v>
      </c>
      <c r="CB12" s="207" t="s">
        <v>90</v>
      </c>
      <c r="CC12" s="207"/>
      <c r="CD12" s="4"/>
      <c r="CE12" s="200" t="s">
        <v>86</v>
      </c>
      <c r="CF12" s="200" t="s">
        <v>83</v>
      </c>
      <c r="CG12" s="200" t="s">
        <v>94</v>
      </c>
      <c r="CH12" s="200" t="s">
        <v>114</v>
      </c>
      <c r="CI12" s="5"/>
      <c r="CJ12" s="5"/>
      <c r="CK12" s="5"/>
      <c r="CL12" s="5"/>
      <c r="CM12" s="5"/>
      <c r="CN12" s="5"/>
      <c r="CO12" s="5"/>
      <c r="CP12" s="5"/>
      <c r="CQ12" s="5"/>
      <c r="CR12" s="5"/>
      <c r="CS12" s="5"/>
      <c r="CT12" s="5"/>
      <c r="CU12" s="5"/>
      <c r="CV12" s="5"/>
      <c r="CW12" s="5"/>
      <c r="CX12" s="5"/>
      <c r="CY12" s="5"/>
      <c r="CZ12" s="5"/>
    </row>
    <row r="13" spans="1:104" ht="37.5" customHeight="1">
      <c r="A13" s="2">
        <v>12</v>
      </c>
      <c r="B13" s="7" t="s">
        <v>1383</v>
      </c>
      <c r="C13" s="329" t="s">
        <v>391</v>
      </c>
      <c r="D13" s="330"/>
      <c r="E13" s="330"/>
      <c r="F13" s="331"/>
      <c r="G13" s="8">
        <f>IF(C13="",0,(COUNTIF(C2:F17,C13)))</f>
        <v>8</v>
      </c>
      <c r="H13" s="9" t="s">
        <v>25</v>
      </c>
      <c r="I13" s="10">
        <f>IFERROR((VLOOKUP($BO$1&amp;C13,Teams!D:M,10,0)),0)</f>
        <v>16</v>
      </c>
      <c r="J13" s="162">
        <f t="shared" ref="J13:K13" si="37">IFERROR(K77,0)</f>
        <v>6</v>
      </c>
      <c r="K13" s="162">
        <f t="shared" si="37"/>
        <v>3</v>
      </c>
      <c r="L13" s="162" t="str">
        <f t="shared" ref="L13:N13" si="38">IFERROR(M77&amp;"+",0)</f>
        <v>2+</v>
      </c>
      <c r="M13" s="162" t="str">
        <f t="shared" si="38"/>
        <v>4+</v>
      </c>
      <c r="N13" s="162" t="str">
        <f t="shared" si="38"/>
        <v>9+</v>
      </c>
      <c r="O13" s="311" t="str">
        <f>IFERROR((IF(AV13="YES",(VLOOKUP($BO$1&amp;C13,Teams!D:M,7,0)),AW13)),"")</f>
        <v/>
      </c>
      <c r="P13" s="312"/>
      <c r="Q13" s="312"/>
      <c r="R13" s="312"/>
      <c r="S13" s="312"/>
      <c r="T13" s="312"/>
      <c r="U13" s="312"/>
      <c r="V13" s="312"/>
      <c r="W13" s="312"/>
      <c r="X13" s="313"/>
      <c r="Y13" s="293"/>
      <c r="Z13" s="294"/>
      <c r="AA13" s="293"/>
      <c r="AB13" s="294"/>
      <c r="AC13" s="293"/>
      <c r="AD13" s="294"/>
      <c r="AE13" s="293"/>
      <c r="AF13" s="294"/>
      <c r="AG13" s="293"/>
      <c r="AH13" s="294"/>
      <c r="AI13" s="293"/>
      <c r="AJ13" s="294"/>
      <c r="AK13" s="295">
        <f t="shared" si="2"/>
        <v>0</v>
      </c>
      <c r="AL13" s="296"/>
      <c r="AM13" s="163">
        <f t="shared" si="17"/>
        <v>0</v>
      </c>
      <c r="AN13" s="297">
        <f>IFERROR((VLOOKUP($BO$1&amp;C13,Teams!D:M,8,0))+AK13,0)</f>
        <v>70000</v>
      </c>
      <c r="AO13" s="298"/>
      <c r="AP13" s="314"/>
      <c r="AQ13" s="4">
        <f>IFERROR((((VLOOKUP($BO$1&amp;C13,Teams!D:M,9,0)+(AK13/1000)))),0)</f>
        <v>70</v>
      </c>
      <c r="AR13" s="5">
        <f>IFERROR((VLOOKUP($BO$1&amp;C13,Teams!D:N,11,0)),0)</f>
        <v>0</v>
      </c>
      <c r="AS13" s="152" t="str">
        <f t="shared" si="3"/>
        <v/>
      </c>
      <c r="AT13" s="152" t="str">
        <f t="shared" si="4"/>
        <v/>
      </c>
      <c r="AU13" s="152" t="str">
        <f t="shared" si="5"/>
        <v/>
      </c>
      <c r="AV13" s="5" t="str">
        <f t="shared" si="6"/>
        <v>YES</v>
      </c>
      <c r="AW13" s="5" t="str">
        <f t="shared" si="7"/>
        <v/>
      </c>
      <c r="AX13" s="11" t="str">
        <f t="shared" si="8"/>
        <v/>
      </c>
      <c r="AY13" s="11" t="str">
        <f t="shared" si="9"/>
        <v/>
      </c>
      <c r="AZ13" s="11" t="str">
        <f t="shared" si="10"/>
        <v/>
      </c>
      <c r="BA13" s="11" t="str">
        <f t="shared" si="11"/>
        <v/>
      </c>
      <c r="BB13" s="11"/>
      <c r="BC13" s="11"/>
      <c r="BD13" s="11" t="str">
        <f t="shared" si="12"/>
        <v/>
      </c>
      <c r="BE13" s="11" t="str">
        <f t="shared" si="13"/>
        <v/>
      </c>
      <c r="BF13" s="12" t="str">
        <f t="shared" si="14"/>
        <v/>
      </c>
      <c r="BG13" s="13" t="str">
        <f>IFERROR((IF((VLOOKUP($BO$1&amp;C13,Teams!D:M,7,0))="","",", ")),"")</f>
        <v/>
      </c>
      <c r="BH13" s="14" t="str">
        <f>IF(AND((VLOOKUP($BO$1&amp;C13,Teams!D:M,7,0))="",AX13=""),"",", ")</f>
        <v/>
      </c>
      <c r="BI13" s="5" t="str">
        <f>$BO$1&amp;12</f>
        <v>Dark Elf12</v>
      </c>
      <c r="BJ13" s="14" t="str">
        <f>IFERROR(IF((VLOOKUP(BI13,Teams!B:C,2,FALSE))=0,"",(VLOOKUP(BI13,Teams!B:C,2,FALSE))),"")</f>
        <v/>
      </c>
      <c r="BK13" s="5"/>
      <c r="BL13" s="5" t="s">
        <v>91</v>
      </c>
      <c r="BM13" s="161" t="str">
        <f t="shared" si="18"/>
        <v>High Elf</v>
      </c>
      <c r="BN13" s="5" t="s">
        <v>92</v>
      </c>
      <c r="BO13" s="5"/>
      <c r="BP13" s="5">
        <v>50000</v>
      </c>
      <c r="BQ13" s="5">
        <v>50000</v>
      </c>
      <c r="BR13" s="5">
        <v>0</v>
      </c>
      <c r="BS13" s="179" t="str">
        <f>IF($J$24="Español","Liga de los Reinos Elfos",(IF($J$24="Deutsch","Liga der Elfenkönigreiche",(IF($J$24="Français","Ligue des Royaumes Elfiques","Elven Kingdoms League")))))</f>
        <v>Elven Kingdoms League</v>
      </c>
      <c r="BT13" s="6" t="s">
        <v>67</v>
      </c>
      <c r="BU13" s="6"/>
      <c r="BV13" s="6"/>
      <c r="BW13" s="6"/>
      <c r="BX13" s="6"/>
      <c r="BY13" s="207" t="s">
        <v>91</v>
      </c>
      <c r="BZ13" s="207" t="s">
        <v>93</v>
      </c>
      <c r="CA13" s="60" t="s">
        <v>94</v>
      </c>
      <c r="CB13" s="4" t="s">
        <v>95</v>
      </c>
      <c r="CC13" s="207"/>
      <c r="CD13" s="4"/>
      <c r="CE13" s="200" t="s">
        <v>91</v>
      </c>
      <c r="CF13" s="200" t="s">
        <v>88</v>
      </c>
      <c r="CG13" s="200" t="s">
        <v>104</v>
      </c>
      <c r="CH13" s="200" t="s">
        <v>120</v>
      </c>
      <c r="CI13" s="5"/>
      <c r="CJ13" s="5"/>
      <c r="CK13" s="5"/>
      <c r="CL13" s="5"/>
      <c r="CM13" s="5"/>
      <c r="CN13" s="5"/>
      <c r="CO13" s="5"/>
      <c r="CP13" s="5"/>
      <c r="CQ13" s="5"/>
      <c r="CR13" s="5"/>
      <c r="CS13" s="5"/>
      <c r="CT13" s="5"/>
      <c r="CU13" s="5"/>
      <c r="CV13" s="5"/>
      <c r="CW13" s="5"/>
      <c r="CX13" s="5"/>
      <c r="CY13" s="5"/>
      <c r="CZ13" s="5"/>
    </row>
    <row r="14" spans="1:104" ht="37.5" customHeight="1">
      <c r="A14" s="2">
        <v>13</v>
      </c>
      <c r="B14" s="7" t="s">
        <v>1384</v>
      </c>
      <c r="C14" s="329" t="s">
        <v>391</v>
      </c>
      <c r="D14" s="330"/>
      <c r="E14" s="330"/>
      <c r="F14" s="331"/>
      <c r="G14" s="8">
        <f>IF(C14="",0,(COUNTIF(C2:F17,C14)))</f>
        <v>8</v>
      </c>
      <c r="H14" s="9" t="s">
        <v>25</v>
      </c>
      <c r="I14" s="10">
        <f>IFERROR((VLOOKUP($BO$1&amp;C14,Teams!D:M,10,0)),0)</f>
        <v>16</v>
      </c>
      <c r="J14" s="162">
        <f t="shared" ref="J14:K14" si="39">IFERROR(K78,0)</f>
        <v>6</v>
      </c>
      <c r="K14" s="162">
        <f t="shared" si="39"/>
        <v>3</v>
      </c>
      <c r="L14" s="162" t="str">
        <f t="shared" ref="L14:N14" si="40">IFERROR(M78&amp;"+",0)</f>
        <v>2+</v>
      </c>
      <c r="M14" s="162" t="str">
        <f t="shared" si="40"/>
        <v>4+</v>
      </c>
      <c r="N14" s="162" t="str">
        <f t="shared" si="40"/>
        <v>9+</v>
      </c>
      <c r="O14" s="311" t="str">
        <f>IFERROR((IF(AV14="YES",(VLOOKUP($BO$1&amp;C14,Teams!D:M,7,0)),AW14)),"")</f>
        <v/>
      </c>
      <c r="P14" s="312"/>
      <c r="Q14" s="312"/>
      <c r="R14" s="312"/>
      <c r="S14" s="312"/>
      <c r="T14" s="312"/>
      <c r="U14" s="312"/>
      <c r="V14" s="312"/>
      <c r="W14" s="312"/>
      <c r="X14" s="313"/>
      <c r="Y14" s="293"/>
      <c r="Z14" s="294"/>
      <c r="AA14" s="293"/>
      <c r="AB14" s="294"/>
      <c r="AC14" s="293"/>
      <c r="AD14" s="294"/>
      <c r="AE14" s="293"/>
      <c r="AF14" s="294"/>
      <c r="AG14" s="293"/>
      <c r="AH14" s="294"/>
      <c r="AI14" s="293"/>
      <c r="AJ14" s="294"/>
      <c r="AK14" s="295">
        <f t="shared" si="2"/>
        <v>0</v>
      </c>
      <c r="AL14" s="296"/>
      <c r="AM14" s="163">
        <f t="shared" si="17"/>
        <v>0</v>
      </c>
      <c r="AN14" s="297">
        <f>IFERROR((VLOOKUP($BO$1&amp;C14,Teams!D:M,8,0))+AK14,0)</f>
        <v>70000</v>
      </c>
      <c r="AO14" s="298"/>
      <c r="AP14" s="314"/>
      <c r="AQ14" s="4">
        <f>IFERROR((((VLOOKUP($BO$1&amp;C14,Teams!D:M,9,0)+(AK14/1000)))),0)</f>
        <v>70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c>
      <c r="BH14" s="14" t="str">
        <f>IF(AND((VLOOKUP($BO$1&amp;C14,Teams!D:M,7,0))="",AX14=""),"",", ")</f>
        <v/>
      </c>
      <c r="BI14" s="5" t="str">
        <f>$BO$1&amp;13</f>
        <v>Dark Elf13</v>
      </c>
      <c r="BJ14" s="14" t="str">
        <f>IFERROR(IF((VLOOKUP(BI14,Teams!B:C,2,FALSE))=0,"",(VLOOKUP(BI14,Teams!B:C,2,FALSE))),"")</f>
        <v/>
      </c>
      <c r="BK14" s="5"/>
      <c r="BL14" s="5" t="s">
        <v>96</v>
      </c>
      <c r="BM14" s="161" t="str">
        <f t="shared" si="18"/>
        <v>Human</v>
      </c>
      <c r="BN14" s="5" t="s">
        <v>96</v>
      </c>
      <c r="BO14" s="5"/>
      <c r="BP14" s="5">
        <v>50000</v>
      </c>
      <c r="BQ14" s="5">
        <v>50000</v>
      </c>
      <c r="BR14" s="5">
        <v>1</v>
      </c>
      <c r="BS14" s="179" t="str">
        <f>IF($J$24="Español","Clásica del Viejo Mundo",(IF($J$24="Deutsch","Alte-Welt-Klassiker",(IF($J$24="Français","Classique du Vieux Monde","Old World Classic")))))</f>
        <v>Old World Classic</v>
      </c>
      <c r="BT14" s="6" t="s">
        <v>97</v>
      </c>
      <c r="BU14" s="6"/>
      <c r="BV14" s="6"/>
      <c r="BW14" s="6"/>
      <c r="BX14" s="6"/>
      <c r="BY14" s="207" t="s">
        <v>96</v>
      </c>
      <c r="BZ14" s="207" t="s">
        <v>98</v>
      </c>
      <c r="CA14" s="60" t="s">
        <v>99</v>
      </c>
      <c r="CB14" s="4" t="s">
        <v>100</v>
      </c>
      <c r="CC14" s="4"/>
      <c r="CD14" s="4"/>
      <c r="CE14" s="200" t="s">
        <v>96</v>
      </c>
      <c r="CF14" s="200" t="s">
        <v>98</v>
      </c>
      <c r="CG14" s="200" t="s">
        <v>108</v>
      </c>
      <c r="CH14" s="200" t="s">
        <v>100</v>
      </c>
      <c r="CI14" s="5"/>
      <c r="CJ14" s="5"/>
      <c r="CK14" s="5"/>
      <c r="CL14" s="5"/>
      <c r="CM14" s="5"/>
      <c r="CN14" s="5"/>
      <c r="CO14" s="5"/>
      <c r="CP14" s="5"/>
      <c r="CQ14" s="5"/>
      <c r="CR14" s="5"/>
      <c r="CS14" s="5"/>
      <c r="CT14" s="5"/>
      <c r="CU14" s="5"/>
      <c r="CV14" s="5"/>
      <c r="CW14" s="5"/>
      <c r="CX14" s="5"/>
      <c r="CY14" s="5"/>
      <c r="CZ14" s="5"/>
    </row>
    <row r="15" spans="1:104" ht="37.5" customHeight="1">
      <c r="A15" s="2">
        <v>14</v>
      </c>
      <c r="B15" s="7" t="s">
        <v>1385</v>
      </c>
      <c r="C15" s="329" t="s">
        <v>391</v>
      </c>
      <c r="D15" s="330"/>
      <c r="E15" s="330"/>
      <c r="F15" s="331"/>
      <c r="G15" s="8">
        <f>IF(C15="",0,(COUNTIF(C2:F17,C15)))</f>
        <v>8</v>
      </c>
      <c r="H15" s="9" t="s">
        <v>25</v>
      </c>
      <c r="I15" s="10">
        <f>IFERROR((VLOOKUP($BO$1&amp;C15,Teams!D:M,10,0)),0)</f>
        <v>16</v>
      </c>
      <c r="J15" s="162">
        <f t="shared" ref="J15:K15" si="41">IFERROR(K79,0)</f>
        <v>6</v>
      </c>
      <c r="K15" s="162">
        <f t="shared" si="41"/>
        <v>3</v>
      </c>
      <c r="L15" s="162" t="str">
        <f t="shared" ref="L15:N15" si="42">IFERROR(M79&amp;"+",0)</f>
        <v>2+</v>
      </c>
      <c r="M15" s="162" t="str">
        <f t="shared" si="42"/>
        <v>4+</v>
      </c>
      <c r="N15" s="162" t="str">
        <f t="shared" si="42"/>
        <v>9+</v>
      </c>
      <c r="O15" s="311" t="str">
        <f>IFERROR((IF(AV15="YES",(VLOOKUP($BO$1&amp;C15,Teams!D:M,7,0)),AW15)),"")</f>
        <v/>
      </c>
      <c r="P15" s="312"/>
      <c r="Q15" s="312"/>
      <c r="R15" s="312"/>
      <c r="S15" s="312"/>
      <c r="T15" s="312"/>
      <c r="U15" s="312"/>
      <c r="V15" s="312"/>
      <c r="W15" s="312"/>
      <c r="X15" s="313"/>
      <c r="Y15" s="293"/>
      <c r="Z15" s="294"/>
      <c r="AA15" s="293"/>
      <c r="AB15" s="294"/>
      <c r="AC15" s="293"/>
      <c r="AD15" s="294"/>
      <c r="AE15" s="293"/>
      <c r="AF15" s="294"/>
      <c r="AG15" s="293"/>
      <c r="AH15" s="294"/>
      <c r="AI15" s="293"/>
      <c r="AJ15" s="294"/>
      <c r="AK15" s="295">
        <f t="shared" si="2"/>
        <v>0</v>
      </c>
      <c r="AL15" s="296"/>
      <c r="AM15" s="163">
        <f t="shared" si="17"/>
        <v>0</v>
      </c>
      <c r="AN15" s="297">
        <f>IFERROR((VLOOKUP($BO$1&amp;C15,Teams!D:M,8,0))+AK15,0)</f>
        <v>70000</v>
      </c>
      <c r="AO15" s="298"/>
      <c r="AP15" s="314"/>
      <c r="AQ15" s="4">
        <f>IFERROR((((VLOOKUP($BO$1&amp;C15,Teams!D:M,9,0)+(AK15/1000)))),0)</f>
        <v>70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c>
      <c r="BH15" s="14" t="str">
        <f>IF(AND((VLOOKUP($BO$1&amp;C15,Teams!D:M,7,0))="",AX15=""),"",", ")</f>
        <v/>
      </c>
      <c r="BI15" s="5"/>
      <c r="BJ15" s="14"/>
      <c r="BK15" s="5"/>
      <c r="BL15" s="5" t="s">
        <v>101</v>
      </c>
      <c r="BM15" s="161" t="str">
        <f t="shared" si="18"/>
        <v>Imperial Nobility</v>
      </c>
      <c r="BN15" s="5" t="s">
        <v>102</v>
      </c>
      <c r="BO15" s="5"/>
      <c r="BP15" s="5">
        <v>70000</v>
      </c>
      <c r="BQ15" s="5">
        <v>50000</v>
      </c>
      <c r="BR15" s="5">
        <v>1</v>
      </c>
      <c r="BS15" s="179" t="str">
        <f>IF($J$24="Español","Clásica del Viejo Mundo",(IF($J$24="Deutsch","Alte-Welt-Klassiker",(IF($J$24="Français","Classique du Vieux Monde","Old World Classic")))))</f>
        <v>Old World Classic</v>
      </c>
      <c r="BT15" s="6" t="s">
        <v>97</v>
      </c>
      <c r="BU15" s="6"/>
      <c r="BV15" s="6"/>
      <c r="BW15" s="6"/>
      <c r="BX15" s="6"/>
      <c r="BY15" s="207" t="s">
        <v>101</v>
      </c>
      <c r="BZ15" s="207" t="s">
        <v>103</v>
      </c>
      <c r="CA15" s="60" t="s">
        <v>104</v>
      </c>
      <c r="CB15" s="4" t="s">
        <v>105</v>
      </c>
      <c r="CC15" s="4"/>
      <c r="CD15" s="4"/>
      <c r="CE15" s="200" t="s">
        <v>101</v>
      </c>
      <c r="CF15" s="200" t="s">
        <v>178</v>
      </c>
      <c r="CG15" s="200" t="s">
        <v>113</v>
      </c>
      <c r="CH15" s="200" t="s">
        <v>1258</v>
      </c>
      <c r="CI15" s="5"/>
      <c r="CJ15" s="5"/>
      <c r="CK15" s="5"/>
      <c r="CL15" s="5"/>
      <c r="CM15" s="5"/>
      <c r="CN15" s="5"/>
      <c r="CO15" s="5"/>
      <c r="CP15" s="5"/>
      <c r="CQ15" s="5"/>
      <c r="CR15" s="5"/>
      <c r="CS15" s="5"/>
      <c r="CT15" s="5"/>
      <c r="CU15" s="5"/>
      <c r="CV15" s="5"/>
      <c r="CW15" s="5"/>
      <c r="CX15" s="5"/>
      <c r="CY15" s="5"/>
      <c r="CZ15" s="5"/>
    </row>
    <row r="16" spans="1:104" ht="37.5" customHeight="1">
      <c r="A16" s="2">
        <v>15</v>
      </c>
      <c r="B16" s="7" t="s">
        <v>1386</v>
      </c>
      <c r="C16" s="329" t="s">
        <v>391</v>
      </c>
      <c r="D16" s="330"/>
      <c r="E16" s="330"/>
      <c r="F16" s="331"/>
      <c r="G16" s="8">
        <f t="shared" ref="G16:G17" si="43">IF(C16="",0,(COUNTIF(C2:F17,C16)))</f>
        <v>8</v>
      </c>
      <c r="H16" s="9" t="s">
        <v>25</v>
      </c>
      <c r="I16" s="10">
        <f>IFERROR((VLOOKUP($BO$1&amp;C16,Teams!D:M,10,0)),0)</f>
        <v>16</v>
      </c>
      <c r="J16" s="162">
        <f t="shared" ref="J16:K16" si="44">IFERROR(K80,0)</f>
        <v>6</v>
      </c>
      <c r="K16" s="162">
        <f t="shared" si="44"/>
        <v>3</v>
      </c>
      <c r="L16" s="162" t="str">
        <f t="shared" ref="L16:N16" si="45">IFERROR(M80&amp;"+",0)</f>
        <v>2+</v>
      </c>
      <c r="M16" s="162" t="str">
        <f t="shared" si="45"/>
        <v>4+</v>
      </c>
      <c r="N16" s="162" t="str">
        <f t="shared" si="45"/>
        <v>9+</v>
      </c>
      <c r="O16" s="311" t="str">
        <f>IFERROR((IF(AV16="YES",(VLOOKUP($BO$1&amp;C16,Teams!D:M,7,0)),AW16)),"")</f>
        <v/>
      </c>
      <c r="P16" s="312"/>
      <c r="Q16" s="312"/>
      <c r="R16" s="312"/>
      <c r="S16" s="312"/>
      <c r="T16" s="312"/>
      <c r="U16" s="312"/>
      <c r="V16" s="312"/>
      <c r="W16" s="312"/>
      <c r="X16" s="313"/>
      <c r="Y16" s="293"/>
      <c r="Z16" s="294"/>
      <c r="AA16" s="293"/>
      <c r="AB16" s="294"/>
      <c r="AC16" s="293"/>
      <c r="AD16" s="294"/>
      <c r="AE16" s="293"/>
      <c r="AF16" s="294"/>
      <c r="AG16" s="293"/>
      <c r="AH16" s="294"/>
      <c r="AI16" s="293"/>
      <c r="AJ16" s="294"/>
      <c r="AK16" s="295">
        <f t="shared" si="2"/>
        <v>0</v>
      </c>
      <c r="AL16" s="296"/>
      <c r="AM16" s="163">
        <f t="shared" si="17"/>
        <v>0</v>
      </c>
      <c r="AN16" s="297">
        <f>IFERROR((VLOOKUP($BO$1&amp;C16,Teams!D:M,8,0))+AK16,0)</f>
        <v>70000</v>
      </c>
      <c r="AO16" s="298"/>
      <c r="AP16" s="314"/>
      <c r="AQ16" s="4">
        <f>IFERROR((((VLOOKUP($BO$1&amp;C16,Teams!D:M,9,0)+(AK16/1000)))),0)</f>
        <v>70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c>
      <c r="BH16" s="14" t="str">
        <f>IF(AND((VLOOKUP($BO$1&amp;C16,Teams!D:M,7,0))="",AX16=""),"",", ")</f>
        <v/>
      </c>
      <c r="BI16" s="14"/>
      <c r="BJ16" s="14"/>
      <c r="BK16" s="5"/>
      <c r="BL16" s="5" t="s">
        <v>106</v>
      </c>
      <c r="BM16" s="161" t="str">
        <f t="shared" si="18"/>
        <v>Khorne</v>
      </c>
      <c r="BN16" s="5" t="s">
        <v>106</v>
      </c>
      <c r="BO16" s="5"/>
      <c r="BP16" s="5">
        <v>60000</v>
      </c>
      <c r="BQ16" s="5">
        <v>50000</v>
      </c>
      <c r="BR16" s="5">
        <v>1</v>
      </c>
      <c r="BS16" s="179" t="str">
        <f>IF($J$24="Español","Elegido de Khorne",(IF($J$24="Deutsch","Auserwählte des Khorne",(IF($J$24="Français","Favori de Khorne","Favoured of Khorne")))))</f>
        <v>Favoured of Khorne</v>
      </c>
      <c r="BT16" s="6" t="s">
        <v>46</v>
      </c>
      <c r="BW16" s="6"/>
      <c r="BX16" s="6"/>
      <c r="BY16" s="207" t="s">
        <v>106</v>
      </c>
      <c r="BZ16" s="207" t="s">
        <v>107</v>
      </c>
      <c r="CA16" s="60" t="s">
        <v>108</v>
      </c>
      <c r="CB16" s="4" t="s">
        <v>109</v>
      </c>
      <c r="CC16" s="4"/>
      <c r="CD16" s="4"/>
      <c r="CE16" s="200" t="s">
        <v>106</v>
      </c>
      <c r="CF16" s="200" t="s">
        <v>173</v>
      </c>
      <c r="CG16" s="200" t="s">
        <v>99</v>
      </c>
      <c r="CH16" s="200" t="s">
        <v>154</v>
      </c>
      <c r="CI16" s="5"/>
      <c r="CJ16" s="5"/>
      <c r="CK16" s="5"/>
      <c r="CL16" s="5"/>
      <c r="CM16" s="5"/>
      <c r="CN16" s="5"/>
      <c r="CO16" s="5"/>
      <c r="CP16" s="5"/>
      <c r="CQ16" s="5"/>
      <c r="CR16" s="5"/>
      <c r="CS16" s="5"/>
      <c r="CT16" s="5"/>
      <c r="CU16" s="5"/>
      <c r="CV16" s="5"/>
      <c r="CW16" s="5"/>
      <c r="CX16" s="5"/>
      <c r="CY16" s="5"/>
      <c r="CZ16" s="5"/>
    </row>
    <row r="17" spans="1:104" ht="37.5" customHeight="1">
      <c r="A17" s="2">
        <v>16</v>
      </c>
      <c r="B17" s="7"/>
      <c r="C17" s="329"/>
      <c r="D17" s="330"/>
      <c r="E17" s="330"/>
      <c r="F17" s="331"/>
      <c r="G17" s="8">
        <f t="shared" si="43"/>
        <v>0</v>
      </c>
      <c r="H17" s="9" t="s">
        <v>25</v>
      </c>
      <c r="I17" s="10">
        <f>IFERROR((VLOOKUP($BO$1&amp;C17,Teams!D:M,10,0)),0)</f>
        <v>0</v>
      </c>
      <c r="J17" s="162">
        <f t="shared" ref="J17:K17" si="46">IFERROR(K81,0)</f>
        <v>0</v>
      </c>
      <c r="K17" s="162">
        <f t="shared" si="46"/>
        <v>0</v>
      </c>
      <c r="L17" s="162" t="str">
        <f t="shared" ref="L17:N17" si="47">IFERROR(M81&amp;"+",0)</f>
        <v>0+</v>
      </c>
      <c r="M17" s="162" t="str">
        <f t="shared" si="47"/>
        <v>0+</v>
      </c>
      <c r="N17" s="162" t="str">
        <f t="shared" si="47"/>
        <v>0+</v>
      </c>
      <c r="O17" s="311">
        <f>IFERROR((IF(AV17="YES",(VLOOKUP($BO$1&amp;C17,Teams!D:M,7,0)),AW17)),"")</f>
        <v>0</v>
      </c>
      <c r="P17" s="312"/>
      <c r="Q17" s="312"/>
      <c r="R17" s="312"/>
      <c r="S17" s="312"/>
      <c r="T17" s="312"/>
      <c r="U17" s="312"/>
      <c r="V17" s="312"/>
      <c r="W17" s="312"/>
      <c r="X17" s="313"/>
      <c r="Y17" s="293"/>
      <c r="Z17" s="294"/>
      <c r="AA17" s="293"/>
      <c r="AB17" s="294"/>
      <c r="AC17" s="293"/>
      <c r="AD17" s="294"/>
      <c r="AE17" s="293"/>
      <c r="AF17" s="294"/>
      <c r="AG17" s="293"/>
      <c r="AH17" s="294"/>
      <c r="AI17" s="302"/>
      <c r="AJ17" s="294"/>
      <c r="AK17" s="295">
        <f>BI61</f>
        <v>0</v>
      </c>
      <c r="AL17" s="296"/>
      <c r="AM17" s="163">
        <f t="shared" si="17"/>
        <v>0</v>
      </c>
      <c r="AN17" s="297">
        <f>IFERROR((VLOOKUP($BO$1&amp;C17,Teams!D:M,8,0))+AK17,0)</f>
        <v>0</v>
      </c>
      <c r="AO17" s="298"/>
      <c r="AP17" s="314"/>
      <c r="AQ17" s="4">
        <f>IFERROR((((VLOOKUP($BO$1&amp;C17,Teams!D:M,9,0)+(AK17/1000)))),0)</f>
        <v>0</v>
      </c>
      <c r="AR17" s="5">
        <f>IFERROR((VLOOKUP($BO$1&amp;C17,Teams!D:N,11,0)),0)</f>
        <v>0</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79" t="str">
        <f>IF($J$24="Español","Superliga Lustriana",(IF($J$24="Deutsch","Lustria-Superliga",(IF($J$24="Français","Super-Ligue de Lustrie","Lustrian Superleague")))))</f>
        <v>Lustrian Superleague</v>
      </c>
      <c r="BT17" s="6" t="s">
        <v>33</v>
      </c>
      <c r="BU17" s="6"/>
      <c r="BV17" s="6"/>
      <c r="BW17" s="6"/>
      <c r="BX17" s="6"/>
      <c r="BY17" s="207" t="s">
        <v>111</v>
      </c>
      <c r="BZ17" s="207" t="s">
        <v>112</v>
      </c>
      <c r="CA17" s="60" t="s">
        <v>113</v>
      </c>
      <c r="CB17" s="4" t="s">
        <v>114</v>
      </c>
      <c r="CC17" s="17"/>
      <c r="CD17" s="4"/>
      <c r="CE17" s="200" t="s">
        <v>111</v>
      </c>
      <c r="CF17" s="200" t="s">
        <v>107</v>
      </c>
      <c r="CG17" s="200" t="s">
        <v>119</v>
      </c>
      <c r="CH17" s="200" t="s">
        <v>75</v>
      </c>
      <c r="CI17" s="5"/>
      <c r="CJ17" s="5"/>
      <c r="CK17" s="5"/>
      <c r="CL17" s="5"/>
      <c r="CM17" s="5"/>
      <c r="CN17" s="5"/>
      <c r="CO17" s="5"/>
      <c r="CP17" s="5"/>
      <c r="CQ17" s="5"/>
      <c r="CR17" s="5"/>
      <c r="CS17" s="5"/>
      <c r="CT17" s="5"/>
      <c r="CU17" s="5"/>
      <c r="CV17" s="5"/>
      <c r="CW17" s="5"/>
      <c r="CX17" s="5"/>
      <c r="CY17" s="5"/>
      <c r="CZ17" s="5"/>
    </row>
    <row r="18" spans="1:104" ht="45" customHeight="1">
      <c r="A18" s="2" t="s">
        <v>110</v>
      </c>
      <c r="B18" s="18" t="str">
        <f>IF($J$24="Italiano","Star Player &amp; Mercenario",(IF($J$24="Español","Jugadores Estrella &amp; Mercenario",(IF($J$24="Français","Star Player &amp; Mercenaire",(IF($J$24="Deutsch","Starspielers &amp; Mercenary","Star Player &amp; Mercenary")))))))</f>
        <v>Star Player &amp; Mercenary</v>
      </c>
      <c r="C18" s="329"/>
      <c r="D18" s="330"/>
      <c r="E18" s="330"/>
      <c r="F18" s="331"/>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11">
        <f>IFERROR((IF(G18&gt;I18,AS18,VLOOKUP(C18,StarPlayers!B:K,7,0))),0)</f>
        <v>0</v>
      </c>
      <c r="P18" s="312"/>
      <c r="Q18" s="312"/>
      <c r="R18" s="312"/>
      <c r="S18" s="312"/>
      <c r="T18" s="312"/>
      <c r="U18" s="312"/>
      <c r="V18" s="312"/>
      <c r="W18" s="312"/>
      <c r="X18" s="312"/>
      <c r="Y18" s="312"/>
      <c r="Z18" s="313"/>
      <c r="AA18" s="311">
        <f>IFERROR((IF(G18&gt;I18,AS18,VLOOKUP(C18,StarPlayers!B:K,8,0))),0)</f>
        <v>0</v>
      </c>
      <c r="AB18" s="312"/>
      <c r="AC18" s="312"/>
      <c r="AD18" s="312"/>
      <c r="AE18" s="312"/>
      <c r="AF18" s="312"/>
      <c r="AG18" s="312"/>
      <c r="AH18" s="312"/>
      <c r="AI18" s="312"/>
      <c r="AJ18" s="312"/>
      <c r="AK18" s="312"/>
      <c r="AL18" s="312"/>
      <c r="AM18" s="313"/>
      <c r="AN18" s="297">
        <f>IFERROR((VLOOKUP(C18,StarPlayers!B:K,9,0)),0)</f>
        <v>0</v>
      </c>
      <c r="AO18" s="298"/>
      <c r="AP18" s="314"/>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79"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7" t="s">
        <v>115</v>
      </c>
      <c r="BZ18" s="207" t="s">
        <v>118</v>
      </c>
      <c r="CA18" s="60" t="s">
        <v>119</v>
      </c>
      <c r="CB18" s="4" t="s">
        <v>120</v>
      </c>
      <c r="CC18" s="207"/>
      <c r="CD18" s="4"/>
      <c r="CE18" s="200" t="s">
        <v>115</v>
      </c>
      <c r="CF18" s="200" t="s">
        <v>112</v>
      </c>
      <c r="CG18" s="200" t="s">
        <v>125</v>
      </c>
      <c r="CH18" s="200" t="s">
        <v>55</v>
      </c>
      <c r="CI18" s="5"/>
      <c r="CJ18" s="5"/>
      <c r="CK18" s="5"/>
      <c r="CL18" s="5"/>
      <c r="CM18" s="5"/>
      <c r="CN18" s="5"/>
      <c r="CO18" s="5"/>
      <c r="CP18" s="5"/>
      <c r="CQ18" s="5"/>
      <c r="CR18" s="5"/>
      <c r="CS18" s="5"/>
      <c r="CT18" s="5"/>
      <c r="CU18" s="5"/>
      <c r="CV18" s="5"/>
      <c r="CW18" s="5"/>
      <c r="CX18" s="5"/>
      <c r="CY18" s="5"/>
      <c r="CZ18" s="5"/>
    </row>
    <row r="19" spans="1:104" ht="45" customHeight="1">
      <c r="A19" s="19" t="s">
        <v>110</v>
      </c>
      <c r="B19" s="18" t="str">
        <f>IF($J$24="Italiano","Star Player &amp; Mercenario",(IF($J$24="Español","Jugadores Estrella &amp; Mercenario",(IF($J$24="Français","Star Player &amp; Mercenaire",(IF($J$24="Deutsch","Starspielers &amp; Mercenary","Star Player &amp; Mercenary")))))))</f>
        <v>Star Player &amp; Mercenary</v>
      </c>
      <c r="C19" s="329"/>
      <c r="D19" s="330"/>
      <c r="E19" s="330"/>
      <c r="F19" s="331"/>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11">
        <f>IFERROR((IF(G19&gt;I19,AS19,VLOOKUP(C19,StarPlayers!B:K,7,0))),0)</f>
        <v>0</v>
      </c>
      <c r="P19" s="312"/>
      <c r="Q19" s="312"/>
      <c r="R19" s="312"/>
      <c r="S19" s="312"/>
      <c r="T19" s="312"/>
      <c r="U19" s="312"/>
      <c r="V19" s="312"/>
      <c r="W19" s="312"/>
      <c r="X19" s="312"/>
      <c r="Y19" s="312"/>
      <c r="Z19" s="313"/>
      <c r="AA19" s="311">
        <f>IFERROR((IF(G19&gt;I19,AS19,VLOOKUP(C19,StarPlayers!B:K,8,0))),0)</f>
        <v>0</v>
      </c>
      <c r="AB19" s="312"/>
      <c r="AC19" s="312"/>
      <c r="AD19" s="312"/>
      <c r="AE19" s="312"/>
      <c r="AF19" s="312"/>
      <c r="AG19" s="312"/>
      <c r="AH19" s="312"/>
      <c r="AI19" s="312"/>
      <c r="AJ19" s="312"/>
      <c r="AK19" s="312"/>
      <c r="AL19" s="312"/>
      <c r="AM19" s="313"/>
      <c r="AN19" s="297">
        <f>IFERROR((VLOOKUP(C19,StarPlayers!B:K,9,0)),0)</f>
        <v>0</v>
      </c>
      <c r="AO19" s="298"/>
      <c r="AP19" s="314"/>
      <c r="AQ19" s="4">
        <f t="shared" si="48"/>
        <v>0</v>
      </c>
      <c r="AR19" s="4"/>
      <c r="AS19" s="204"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79"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7" t="s">
        <v>122</v>
      </c>
      <c r="BZ19" s="207" t="s">
        <v>124</v>
      </c>
      <c r="CA19" s="60" t="s">
        <v>125</v>
      </c>
      <c r="CB19" s="4" t="s">
        <v>126</v>
      </c>
      <c r="CC19" s="207"/>
      <c r="CD19" s="4"/>
      <c r="CE19" s="200" t="s">
        <v>122</v>
      </c>
      <c r="CF19" s="200" t="s">
        <v>118</v>
      </c>
      <c r="CG19" s="200" t="s">
        <v>128</v>
      </c>
      <c r="CH19" s="200" t="s">
        <v>105</v>
      </c>
      <c r="CI19" s="5"/>
      <c r="CJ19" s="5"/>
      <c r="CK19" s="5"/>
      <c r="CL19" s="5"/>
      <c r="CM19" s="5"/>
      <c r="CN19" s="5"/>
      <c r="CO19" s="5"/>
      <c r="CP19" s="5"/>
      <c r="CQ19" s="5"/>
      <c r="CR19" s="5"/>
      <c r="CS19" s="5"/>
      <c r="CT19" s="5"/>
      <c r="CU19" s="5"/>
      <c r="CV19" s="5"/>
      <c r="CW19" s="5"/>
      <c r="CX19" s="5"/>
      <c r="CY19" s="5"/>
      <c r="CZ19" s="5"/>
    </row>
    <row r="20" spans="1:104" s="203" customFormat="1" ht="45" customHeight="1">
      <c r="A20" s="19" t="s">
        <v>110</v>
      </c>
      <c r="B20" s="18" t="str">
        <f>IF($J$24="Italiano","Mercenario",(IF($J$24="Español","Mercenario",(IF($J$24="Français","Mercenaire","Mercenary")))))</f>
        <v>Mercenary</v>
      </c>
      <c r="C20" s="329"/>
      <c r="D20" s="330"/>
      <c r="E20" s="330"/>
      <c r="F20" s="331"/>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11">
        <f>IFERROR((IF(G20&gt;I20,AS20,VLOOKUP(C20,StarPlayers!B:K,7,0))),0)</f>
        <v>0</v>
      </c>
      <c r="P20" s="312"/>
      <c r="Q20" s="312"/>
      <c r="R20" s="312"/>
      <c r="S20" s="312"/>
      <c r="T20" s="312"/>
      <c r="U20" s="312"/>
      <c r="V20" s="312"/>
      <c r="W20" s="312"/>
      <c r="X20" s="312"/>
      <c r="Y20" s="312"/>
      <c r="Z20" s="313"/>
      <c r="AA20" s="311">
        <f>IFERROR((IF(G20&gt;I20,AS20,VLOOKUP(C20,StarPlayers!B:K,8,0))),0)</f>
        <v>0</v>
      </c>
      <c r="AB20" s="312"/>
      <c r="AC20" s="312"/>
      <c r="AD20" s="312"/>
      <c r="AE20" s="312"/>
      <c r="AF20" s="312"/>
      <c r="AG20" s="312"/>
      <c r="AH20" s="312"/>
      <c r="AI20" s="312"/>
      <c r="AJ20" s="312"/>
      <c r="AK20" s="312"/>
      <c r="AL20" s="312"/>
      <c r="AM20" s="313"/>
      <c r="AN20" s="297">
        <f>IFERROR((VLOOKUP(C20,StarPlayers!B:K,9,0)),0)</f>
        <v>0</v>
      </c>
      <c r="AO20" s="298"/>
      <c r="AP20" s="314"/>
      <c r="AQ20" s="4">
        <f>IFERROR(AN20/1000,0)</f>
        <v>0</v>
      </c>
      <c r="AR20" s="4"/>
      <c r="AS20" s="204" t="str">
        <f t="shared" si="49"/>
        <v/>
      </c>
      <c r="AT20" s="4"/>
      <c r="AU20" s="4"/>
      <c r="AV20" s="4"/>
      <c r="AW20" s="4"/>
      <c r="AX20" s="204"/>
      <c r="AY20" s="204"/>
      <c r="AZ20" s="204"/>
      <c r="BA20" s="204"/>
      <c r="BB20" s="204"/>
      <c r="BC20" s="204"/>
      <c r="BD20" s="204"/>
      <c r="BE20" s="204"/>
      <c r="BF20" s="14"/>
      <c r="BG20" s="14"/>
      <c r="BH20" s="14"/>
      <c r="BI20" s="14"/>
      <c r="BJ20" s="14"/>
      <c r="BK20" s="204"/>
      <c r="BL20" s="5" t="s">
        <v>127</v>
      </c>
      <c r="BM20" s="161" t="str">
        <f t="shared" ref="BM20:BM31" si="50">IF($J$24="Español",CF20,(IF($J$24="Deutsch",CG20,(IF($J$24="Français",CH20,CE20)))))</f>
        <v>Nurgle</v>
      </c>
      <c r="BN20" s="5" t="s">
        <v>127</v>
      </c>
      <c r="BO20" s="5"/>
      <c r="BP20" s="5">
        <v>70000</v>
      </c>
      <c r="BQ20" s="5">
        <v>0</v>
      </c>
      <c r="BR20" s="5">
        <v>1</v>
      </c>
      <c r="BS20" s="179" t="str">
        <f>IF($J$24="Español","Elegido de Nurgle",(IF($J$24="Deutsch","Auserwählte des Nurgle",(IF($J$24="Français","Favori de Nurgle","Favoured of Nurgle")))))</f>
        <v>Favoured of Nurgle</v>
      </c>
      <c r="BT20" s="6" t="s">
        <v>46</v>
      </c>
      <c r="BU20" s="6"/>
      <c r="BV20" s="6"/>
      <c r="BW20" s="6"/>
      <c r="BX20" s="6"/>
      <c r="BY20" s="207" t="s">
        <v>127</v>
      </c>
      <c r="BZ20" s="207" t="s">
        <v>128</v>
      </c>
      <c r="CA20" s="60" t="s">
        <v>129</v>
      </c>
      <c r="CB20" s="4" t="s">
        <v>130</v>
      </c>
      <c r="CC20" s="207"/>
      <c r="CD20" s="4"/>
      <c r="CE20" s="200" t="s">
        <v>127</v>
      </c>
      <c r="CF20" s="200" t="s">
        <v>152</v>
      </c>
      <c r="CG20" s="200" t="s">
        <v>136</v>
      </c>
      <c r="CH20" s="200" t="s">
        <v>126</v>
      </c>
      <c r="CI20" s="204"/>
      <c r="CJ20" s="204"/>
      <c r="CK20" s="204"/>
      <c r="CL20" s="204"/>
      <c r="CM20" s="204"/>
      <c r="CN20" s="204"/>
      <c r="CO20" s="204"/>
      <c r="CP20" s="204"/>
      <c r="CQ20" s="204"/>
      <c r="CR20" s="204"/>
      <c r="CS20" s="204"/>
      <c r="CT20" s="204"/>
      <c r="CU20" s="204"/>
      <c r="CV20" s="204"/>
      <c r="CW20" s="204"/>
      <c r="CX20" s="204"/>
      <c r="CY20" s="204"/>
      <c r="CZ20" s="204"/>
    </row>
    <row r="21" spans="1:104" ht="18.75" customHeight="1">
      <c r="A21" s="334"/>
      <c r="B21" s="335"/>
      <c r="C21" s="340" t="str">
        <f>IF(J24="Italiano","ALLENATORE CAPO / NAF",(IF(J24="Español","ENTRENADOR / NAF",(IF(J24="Deutsch","CHEFTRAINER / NAF",(IF(J24="Français","COACH / NAF","HEAD COACH / NAF")))))))</f>
        <v>HEAD COACH / NAF</v>
      </c>
      <c r="D21" s="341"/>
      <c r="E21" s="341"/>
      <c r="F21" s="341"/>
      <c r="G21" s="341"/>
      <c r="H21" s="341"/>
      <c r="I21" s="342"/>
      <c r="J21" s="344" t="s">
        <v>1376</v>
      </c>
      <c r="K21" s="345"/>
      <c r="L21" s="345"/>
      <c r="M21" s="345"/>
      <c r="N21" s="345"/>
      <c r="O21" s="345"/>
      <c r="P21" s="345"/>
      <c r="Q21" s="346"/>
      <c r="R21" s="340" t="str">
        <f>IF(J24="Italiano","TIFOSI SFEGATATI",(IF(J24="Español","FANS DEDICADOS",(IF(J24="Deutsch","TREUE FANS",(IF(J24="Français","FANS DÉVOUÉS","DEDICATED FANS")))))))</f>
        <v>DEDICATED FANS</v>
      </c>
      <c r="S21" s="341"/>
      <c r="T21" s="341"/>
      <c r="U21" s="341"/>
      <c r="V21" s="342"/>
      <c r="W21" s="29">
        <v>0</v>
      </c>
      <c r="X21" s="23" t="s">
        <v>121</v>
      </c>
      <c r="Y21" s="299">
        <v>10000</v>
      </c>
      <c r="Z21" s="299"/>
      <c r="AA21" s="24" t="str">
        <f t="shared" ref="AA21:AA29" si="51">IF($J$24="Español","mo",(IF($J$24="Deutsch","gm",(IF($J$24="Français","po","gp")))))</f>
        <v>gp</v>
      </c>
      <c r="AB21" s="300">
        <f>IFERROR(W21*Y21,0)</f>
        <v>0</v>
      </c>
      <c r="AC21" s="301"/>
      <c r="AD21" s="340"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APOTHECARY</v>
      </c>
      <c r="AE21" s="341"/>
      <c r="AF21" s="341"/>
      <c r="AG21" s="341"/>
      <c r="AH21" s="342"/>
      <c r="AI21" s="26">
        <v>0</v>
      </c>
      <c r="AJ21" s="23" t="s">
        <v>121</v>
      </c>
      <c r="AK21" s="299">
        <f>IF(OR(BO1="Necromantic",BO1="Shambling Undead",BO1="Nurgle"),100000,(VLOOKUP(BO1,BL:BQ,6,0)))</f>
        <v>50000</v>
      </c>
      <c r="AL21" s="299"/>
      <c r="AM21" s="24" t="str">
        <f t="shared" ref="AM21:AM28" si="52">IF($J$24="Español","mo",(IF($J$24="Deutsch","gm",(IF($J$24="Français","po","gp")))))</f>
        <v>gp</v>
      </c>
      <c r="AN21" s="300">
        <f>IFERROR(IF(OR(AJ35="NO",AJ35="NON",AJ35="NEIN"),AI21*AK21,0),0)</f>
        <v>0</v>
      </c>
      <c r="AO21" s="301"/>
      <c r="AP21" s="314"/>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79"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7" t="s">
        <v>132</v>
      </c>
      <c r="BZ21" s="207" t="s">
        <v>135</v>
      </c>
      <c r="CA21" s="60" t="s">
        <v>136</v>
      </c>
      <c r="CB21" s="4" t="s">
        <v>137</v>
      </c>
      <c r="CC21" s="207"/>
      <c r="CD21" s="4"/>
      <c r="CE21" s="200" t="s">
        <v>132</v>
      </c>
      <c r="CF21" s="200" t="s">
        <v>103</v>
      </c>
      <c r="CG21" s="200" t="s">
        <v>143</v>
      </c>
      <c r="CH21" s="200" t="s">
        <v>130</v>
      </c>
      <c r="CI21" s="5"/>
      <c r="CJ21" s="5"/>
      <c r="CK21" s="5"/>
      <c r="CL21" s="5"/>
      <c r="CM21" s="5"/>
      <c r="CN21" s="5"/>
      <c r="CO21" s="5"/>
      <c r="CP21" s="5"/>
      <c r="CQ21" s="5"/>
      <c r="CR21" s="5"/>
      <c r="CS21" s="5"/>
      <c r="CT21" s="5"/>
      <c r="CU21" s="5"/>
      <c r="CV21" s="5"/>
      <c r="CW21" s="5"/>
      <c r="CX21" s="5"/>
      <c r="CY21" s="5"/>
      <c r="CZ21" s="5"/>
    </row>
    <row r="22" spans="1:104" ht="18.75" customHeight="1">
      <c r="A22" s="336"/>
      <c r="B22" s="337"/>
      <c r="C22" s="343" t="str">
        <f>IF(J24="Italiano","RAZZA",(IF(J24="Español","RAZA",(IF(J24="Deutsch","RASSE",(IF(J24="Français","TYPE D’ÉQUIPE","RACE")))))))</f>
        <v>RACE</v>
      </c>
      <c r="D22" s="284"/>
      <c r="E22" s="284"/>
      <c r="F22" s="284"/>
      <c r="G22" s="284"/>
      <c r="H22" s="284"/>
      <c r="I22" s="285"/>
      <c r="J22" s="323" t="s">
        <v>65</v>
      </c>
      <c r="K22" s="358"/>
      <c r="L22" s="358"/>
      <c r="M22" s="358"/>
      <c r="N22" s="358"/>
      <c r="O22" s="358"/>
      <c r="P22" s="358"/>
      <c r="Q22" s="324"/>
      <c r="R22" s="340" t="str">
        <f>IF(J24="Italiano","REROLLS",(IF(J24="Español","SEGUNDAS OPORTUNIDADES",(IF(J24="Deutsch","WIEDERHOLUNGSWÜRFE",(IF(J24="Français","RELANCES","REROLLS")))))))</f>
        <v>REROLLS</v>
      </c>
      <c r="S22" s="341"/>
      <c r="T22" s="341"/>
      <c r="U22" s="341"/>
      <c r="V22" s="342"/>
      <c r="W22" s="29">
        <v>3</v>
      </c>
      <c r="X22" s="23" t="s">
        <v>121</v>
      </c>
      <c r="Y22" s="299">
        <f>IFERROR(VLOOKUP(BO1,BL:BP,5,0),0)</f>
        <v>50000</v>
      </c>
      <c r="Z22" s="299"/>
      <c r="AA22" s="24" t="str">
        <f t="shared" si="51"/>
        <v>gp</v>
      </c>
      <c r="AB22" s="300">
        <f t="shared" ref="AB22:AB24" si="53">IFERROR(W22*Y22,0)</f>
        <v>150000</v>
      </c>
      <c r="AC22" s="301"/>
      <c r="AD22" s="340" t="str">
        <f>IF(J24="Italiano","MAGO DEL CLIMA",(IF(J24="Español","MAGO DEL TIEMPO",(IF(J24="Deutsch","WETTERMAGIER",(IF(J24="Français","MAGE MÉTÉO","WEATHER MAGE")))))))</f>
        <v>WEATHER MAGE</v>
      </c>
      <c r="AE22" s="341"/>
      <c r="AF22" s="341"/>
      <c r="AG22" s="341"/>
      <c r="AH22" s="342"/>
      <c r="AI22" s="29">
        <v>0</v>
      </c>
      <c r="AJ22" s="23" t="s">
        <v>121</v>
      </c>
      <c r="AK22" s="299">
        <v>30000</v>
      </c>
      <c r="AL22" s="299"/>
      <c r="AM22" s="24" t="str">
        <f t="shared" si="52"/>
        <v>gp</v>
      </c>
      <c r="AN22" s="300">
        <f t="shared" ref="AN22:AN28" si="54">IFERROR(AI22*AK22,0)</f>
        <v>0</v>
      </c>
      <c r="AO22" s="301"/>
      <c r="AP22" s="314"/>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79" t="str">
        <f>IF($J$24="Español","Clásica del Viejo Mundo",(IF($J$24="Deutsch","Alte-Welt-Klassiker",(IF($J$24="Français","Classique du Vieux Monde","Old World Classic")))))</f>
        <v>Old World Classic</v>
      </c>
      <c r="BT22" s="6" t="s">
        <v>97</v>
      </c>
      <c r="BU22" s="6"/>
      <c r="BV22" s="6"/>
      <c r="BW22" s="6"/>
      <c r="BX22" s="6"/>
      <c r="BY22" s="207" t="s">
        <v>140</v>
      </c>
      <c r="BZ22" s="207" t="s">
        <v>142</v>
      </c>
      <c r="CA22" s="60" t="s">
        <v>143</v>
      </c>
      <c r="CB22" s="4" t="s">
        <v>144</v>
      </c>
      <c r="CC22" s="207"/>
      <c r="CD22" s="4"/>
      <c r="CE22" s="200" t="s">
        <v>140</v>
      </c>
      <c r="CF22" s="200" t="s">
        <v>124</v>
      </c>
      <c r="CG22" s="200" t="s">
        <v>147</v>
      </c>
      <c r="CH22" s="200" t="s">
        <v>137</v>
      </c>
      <c r="CI22" s="5"/>
      <c r="CJ22" s="5"/>
      <c r="CK22" s="5"/>
      <c r="CL22" s="5"/>
      <c r="CM22" s="5"/>
      <c r="CN22" s="5"/>
      <c r="CO22" s="5"/>
      <c r="CP22" s="5"/>
      <c r="CQ22" s="5"/>
      <c r="CR22" s="5"/>
      <c r="CS22" s="5"/>
      <c r="CT22" s="5"/>
      <c r="CU22" s="5"/>
      <c r="CV22" s="5"/>
      <c r="CW22" s="5"/>
      <c r="CX22" s="5"/>
      <c r="CY22" s="5"/>
      <c r="CZ22" s="5"/>
    </row>
    <row r="23" spans="1:104" ht="18.75" customHeight="1">
      <c r="A23" s="336"/>
      <c r="B23" s="337"/>
      <c r="C23" s="343" t="str">
        <f>IF(J24="Italiano","NOME SQUADRA",(IF(J24="Español","NOMBRE DEL EQUIPO",(IF(J24="Français","NOM D’ÉQUIPE","TEAM NAME")))))</f>
        <v>TEAM NAME</v>
      </c>
      <c r="D23" s="284"/>
      <c r="E23" s="284"/>
      <c r="F23" s="284"/>
      <c r="G23" s="284"/>
      <c r="H23" s="284"/>
      <c r="I23" s="285"/>
      <c r="J23" s="344" t="s">
        <v>1377</v>
      </c>
      <c r="K23" s="345"/>
      <c r="L23" s="345"/>
      <c r="M23" s="345"/>
      <c r="N23" s="345"/>
      <c r="O23" s="345"/>
      <c r="P23" s="345"/>
      <c r="Q23" s="346"/>
      <c r="R23" s="340" t="str">
        <f>IF(J24="Español","ANIMADORAS",(IF(J24="Deutsch","CHEERLEADER","CHEERLEADERS")))</f>
        <v>CHEERLEADERS</v>
      </c>
      <c r="S23" s="341"/>
      <c r="T23" s="341"/>
      <c r="U23" s="341"/>
      <c r="V23" s="342"/>
      <c r="W23" s="29">
        <v>0</v>
      </c>
      <c r="X23" s="23" t="s">
        <v>121</v>
      </c>
      <c r="Y23" s="299">
        <v>10000</v>
      </c>
      <c r="Z23" s="299"/>
      <c r="AA23" s="24" t="str">
        <f t="shared" si="51"/>
        <v>gp</v>
      </c>
      <c r="AB23" s="300">
        <f t="shared" si="53"/>
        <v>0</v>
      </c>
      <c r="AC23" s="301"/>
      <c r="AD23" s="303" t="s">
        <v>131</v>
      </c>
      <c r="AE23" s="304"/>
      <c r="AF23" s="304"/>
      <c r="AG23" s="304"/>
      <c r="AH23" s="305"/>
      <c r="AI23" s="29">
        <v>0</v>
      </c>
      <c r="AJ23" s="23" t="s">
        <v>121</v>
      </c>
      <c r="AK23" s="299">
        <f>IFERROR((VLOOKUP(AD23,BH64:BI88,2,FALSE)),0)</f>
        <v>0</v>
      </c>
      <c r="AL23" s="299"/>
      <c r="AM23" s="24" t="str">
        <f t="shared" si="52"/>
        <v>gp</v>
      </c>
      <c r="AN23" s="300">
        <f t="shared" si="54"/>
        <v>0</v>
      </c>
      <c r="AO23" s="301"/>
      <c r="AP23" s="314"/>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79" t="str">
        <f>IF($J$24="Español","Reyerta en las Yermas",(IF($J$24="Deutsch","Düsterland-Rauferei",(IF($J$24="Français","Bagarre des Terres Arides","Badlands Brawl")))))</f>
        <v>Badlands Brawl</v>
      </c>
      <c r="BT23" s="6" t="s">
        <v>39</v>
      </c>
      <c r="BU23" s="6"/>
      <c r="BV23" s="6"/>
      <c r="BW23" s="6"/>
      <c r="BX23" s="6"/>
      <c r="BY23" s="207" t="s">
        <v>145</v>
      </c>
      <c r="BZ23" s="207" t="s">
        <v>146</v>
      </c>
      <c r="CA23" s="60" t="s">
        <v>147</v>
      </c>
      <c r="CB23" s="4" t="s">
        <v>148</v>
      </c>
      <c r="CC23" s="207"/>
      <c r="CD23" s="28"/>
      <c r="CE23" s="200" t="s">
        <v>145</v>
      </c>
      <c r="CF23" s="200" t="s">
        <v>128</v>
      </c>
      <c r="CG23" s="200" t="s">
        <v>153</v>
      </c>
      <c r="CH23" s="200" t="s">
        <v>148</v>
      </c>
      <c r="CI23" s="5"/>
      <c r="CJ23" s="5"/>
      <c r="CK23" s="5"/>
      <c r="CL23" s="5"/>
      <c r="CM23" s="5"/>
      <c r="CN23" s="5"/>
      <c r="CO23" s="5"/>
      <c r="CP23" s="5"/>
      <c r="CQ23" s="5"/>
      <c r="CR23" s="5"/>
      <c r="CS23" s="5"/>
      <c r="CT23" s="5"/>
      <c r="CU23" s="5"/>
      <c r="CV23" s="5"/>
      <c r="CW23" s="5"/>
      <c r="CX23" s="5"/>
      <c r="CY23" s="5"/>
      <c r="CZ23" s="5"/>
    </row>
    <row r="24" spans="1:104" ht="18.75" customHeight="1">
      <c r="A24" s="336"/>
      <c r="B24" s="337"/>
      <c r="C24" s="343" t="str">
        <f>IF(J24="Italiano","LINGUA",(IF(J24="Español","IDIOMA",(IF(J24="Deutsch","SPRACHE",(IF(J24="Français","LANGUE","LANGUAGE")))))))</f>
        <v>LANGUAGE</v>
      </c>
      <c r="D24" s="284"/>
      <c r="E24" s="284"/>
      <c r="F24" s="284"/>
      <c r="G24" s="284"/>
      <c r="H24" s="284"/>
      <c r="I24" s="285"/>
      <c r="J24" s="359" t="s">
        <v>138</v>
      </c>
      <c r="K24" s="360"/>
      <c r="L24" s="360"/>
      <c r="M24" s="360"/>
      <c r="N24" s="360"/>
      <c r="O24" s="360"/>
      <c r="P24" s="360"/>
      <c r="Q24" s="361"/>
      <c r="R24" s="340" t="str">
        <f>IF(J24="Italiano","ASSISTENTI ALLENATORI",(IF(J24="Español","AYUDANTES ENTRENADOR",(IF(J24="Deutsch","TRAINERASSISTENTEN",(IF(J24="Français","COACHS ASSIST","ASSISTANT COACHES")))))))</f>
        <v>ASSISTANT COACHES</v>
      </c>
      <c r="S24" s="341"/>
      <c r="T24" s="341"/>
      <c r="U24" s="341"/>
      <c r="V24" s="342"/>
      <c r="W24" s="29">
        <v>0</v>
      </c>
      <c r="X24" s="23" t="s">
        <v>121</v>
      </c>
      <c r="Y24" s="299">
        <v>10000</v>
      </c>
      <c r="Z24" s="299"/>
      <c r="AA24" s="24" t="str">
        <f t="shared" si="51"/>
        <v>gp</v>
      </c>
      <c r="AB24" s="300">
        <f t="shared" si="53"/>
        <v>0</v>
      </c>
      <c r="AC24" s="301"/>
      <c r="AD24" s="303" t="s">
        <v>139</v>
      </c>
      <c r="AE24" s="304"/>
      <c r="AF24" s="304"/>
      <c r="AG24" s="304"/>
      <c r="AH24" s="305"/>
      <c r="AI24" s="29">
        <v>0</v>
      </c>
      <c r="AJ24" s="23" t="s">
        <v>121</v>
      </c>
      <c r="AK24" s="299">
        <f>IFERROR(VLOOKUP(AD24,BD64:BE88,2,FALSE),0)</f>
        <v>0</v>
      </c>
      <c r="AL24" s="299"/>
      <c r="AM24" s="24" t="str">
        <f t="shared" si="52"/>
        <v>gp</v>
      </c>
      <c r="AN24" s="300">
        <f t="shared" si="54"/>
        <v>0</v>
      </c>
      <c r="AO24" s="301"/>
      <c r="AP24" s="314"/>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79"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7" t="s">
        <v>150</v>
      </c>
      <c r="BZ24" s="207" t="s">
        <v>152</v>
      </c>
      <c r="CA24" s="60" t="s">
        <v>153</v>
      </c>
      <c r="CB24" s="4" t="s">
        <v>154</v>
      </c>
      <c r="CC24" s="207"/>
      <c r="CD24" s="4"/>
      <c r="CE24" s="200" t="s">
        <v>150</v>
      </c>
      <c r="CF24" s="200" t="s">
        <v>135</v>
      </c>
      <c r="CG24" s="200" t="s">
        <v>158</v>
      </c>
      <c r="CH24" s="200" t="s">
        <v>43</v>
      </c>
      <c r="CI24" s="5"/>
      <c r="CJ24" s="5"/>
      <c r="CK24" s="5"/>
      <c r="CL24" s="5"/>
      <c r="CM24" s="5"/>
      <c r="CN24" s="5"/>
      <c r="CO24" s="5"/>
      <c r="CP24" s="5"/>
      <c r="CQ24" s="5"/>
      <c r="CR24" s="5"/>
      <c r="CS24" s="5"/>
      <c r="CT24" s="5"/>
      <c r="CU24" s="5"/>
      <c r="CV24" s="5"/>
      <c r="CW24" s="5"/>
      <c r="CX24" s="5"/>
      <c r="CY24" s="5"/>
      <c r="CZ24" s="5"/>
    </row>
    <row r="25" spans="1:104" ht="18.75" customHeight="1">
      <c r="A25" s="336"/>
      <c r="B25" s="337"/>
      <c r="C25" s="343" t="str">
        <f>IF(J24="Italiano","COSTI INCENTIVI &amp; EXTRA",(IF(J24="Español","COSTE INCENTIVOS Y EXTRAS",(IF(J24="Deutsch","GESAMTER TEAMWERT &amp; EXTRAS",(IF(J24="Français","COUPS DE POUCES &amp; STAFF","COST INDUCEMENTS &amp; EXTRAS")))))))</f>
        <v>COST INDUCEMENTS &amp; EXTRAS</v>
      </c>
      <c r="D25" s="284"/>
      <c r="E25" s="284"/>
      <c r="F25" s="284"/>
      <c r="G25" s="284"/>
      <c r="H25" s="284"/>
      <c r="I25" s="285"/>
      <c r="J25" s="351">
        <f>(SUM(AB21:AC29,AN18:AO28))/1000</f>
        <v>150</v>
      </c>
      <c r="K25" s="352"/>
      <c r="L25" s="352"/>
      <c r="M25" s="352"/>
      <c r="N25" s="353" t="str">
        <f>IF(J24="Español","k mo",(IF(J24="Deutsch","k gm",(IF(J24="Français","k po","k gp")))))</f>
        <v>k gp</v>
      </c>
      <c r="O25" s="284"/>
      <c r="P25" s="284"/>
      <c r="Q25" s="285"/>
      <c r="R25" s="340" t="str">
        <f>IF(J24="Italiano","FUSTI DI BLOODWEISER",(IF(J24="Español","BARRILES BLOODWEISER",(IF(J24="Français","FÛTS DE BLOODWEISER","BLOODWEISER KEGS")))))</f>
        <v>BLOODWEISER KEGS</v>
      </c>
      <c r="S25" s="341"/>
      <c r="T25" s="341"/>
      <c r="U25" s="341"/>
      <c r="V25" s="342"/>
      <c r="W25" s="29">
        <v>0</v>
      </c>
      <c r="X25" s="23" t="s">
        <v>121</v>
      </c>
      <c r="Y25" s="299">
        <v>50000</v>
      </c>
      <c r="Z25" s="299"/>
      <c r="AA25" s="24" t="str">
        <f t="shared" si="51"/>
        <v>gp</v>
      </c>
      <c r="AB25" s="300">
        <f>IFERROR((W25*Y25)-(AO35*Y25),0)</f>
        <v>0</v>
      </c>
      <c r="AC25" s="301"/>
      <c r="AD25" s="303" t="str">
        <f>BD64</f>
        <v>(IN)FAMOUS COACHES</v>
      </c>
      <c r="AE25" s="304"/>
      <c r="AF25" s="304"/>
      <c r="AG25" s="304"/>
      <c r="AH25" s="305"/>
      <c r="AI25" s="29">
        <v>0</v>
      </c>
      <c r="AJ25" s="23" t="s">
        <v>121</v>
      </c>
      <c r="AK25" s="299">
        <f>IFERROR(VLOOKUP(AD25,BD64:BE88,2,FALSE),0)</f>
        <v>0</v>
      </c>
      <c r="AL25" s="299"/>
      <c r="AM25" s="24" t="str">
        <f t="shared" si="52"/>
        <v>gp</v>
      </c>
      <c r="AN25" s="300">
        <f t="shared" si="54"/>
        <v>0</v>
      </c>
      <c r="AO25" s="301"/>
      <c r="AP25" s="314"/>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79" t="str">
        <f>IF($J$24="Español","Superliga Lustriana",(IF($J$24="Deutsch","Lustria-Superliga",(IF($J$24="Français","Super-Ligue de Lustrie","Lustrian Superleague")))))</f>
        <v>Lustrian Superleague</v>
      </c>
      <c r="BT25" s="6" t="s">
        <v>33</v>
      </c>
      <c r="BU25" s="6"/>
      <c r="BV25" s="6"/>
      <c r="BW25" s="6"/>
      <c r="BX25" s="6"/>
      <c r="BY25" s="207" t="s">
        <v>156</v>
      </c>
      <c r="BZ25" s="207" t="s">
        <v>157</v>
      </c>
      <c r="CA25" s="60" t="s">
        <v>158</v>
      </c>
      <c r="CB25" s="4" t="s">
        <v>159</v>
      </c>
      <c r="CC25" s="207"/>
      <c r="CD25" s="4"/>
      <c r="CE25" s="200" t="s">
        <v>156</v>
      </c>
      <c r="CF25" s="200" t="s">
        <v>146</v>
      </c>
      <c r="CG25" s="200" t="s">
        <v>163</v>
      </c>
      <c r="CH25" s="200" t="s">
        <v>60</v>
      </c>
      <c r="CI25" s="5"/>
      <c r="CJ25" s="5"/>
      <c r="CK25" s="5"/>
      <c r="CL25" s="5"/>
      <c r="CM25" s="5"/>
      <c r="CN25" s="5"/>
      <c r="CO25" s="5"/>
      <c r="CP25" s="5"/>
      <c r="CQ25" s="5"/>
      <c r="CR25" s="5"/>
      <c r="CS25" s="5"/>
      <c r="CT25" s="5"/>
      <c r="CU25" s="5"/>
      <c r="CV25" s="5"/>
      <c r="CW25" s="5"/>
      <c r="CX25" s="5"/>
      <c r="CY25" s="5"/>
      <c r="CZ25" s="5"/>
    </row>
    <row r="26" spans="1:104" ht="18.75" customHeight="1">
      <c r="A26" s="336"/>
      <c r="B26" s="337"/>
      <c r="C26" s="347" t="str">
        <f>IF(J24="Italiano","COSTO GIOCATORI",(IF(J24="Español","PRECIO JUGADORES",(IF(J24="Deutsch","WERT SPIELER",(IF(J24="Français","VALEUR DES JOUEURS","COST PLAYERS")))))))</f>
        <v>COST PLAYERS</v>
      </c>
      <c r="D26" s="284"/>
      <c r="E26" s="284"/>
      <c r="F26" s="284"/>
      <c r="G26" s="284"/>
      <c r="H26" s="284"/>
      <c r="I26" s="285"/>
      <c r="J26" s="351">
        <f>(SUM(AN2:AO17))/1000</f>
        <v>840</v>
      </c>
      <c r="K26" s="352"/>
      <c r="L26" s="352"/>
      <c r="M26" s="352"/>
      <c r="N26" s="353" t="str">
        <f>IF(J24="Español","k mo",(IF(J24="Deutsch","k gm",(IF(J24="Français","k po","k gp")))))</f>
        <v>k gp</v>
      </c>
      <c r="O26" s="284"/>
      <c r="P26" s="284"/>
      <c r="Q26" s="285"/>
      <c r="R26" s="340" t="str">
        <f>IF(J24="Italiano","MAZZETTE",(IF(J24="Español","SOBORNOS",(IF(J24="Deutsch","BESTECHUNGEN",(IF(J24="Français","POTS-DE-VIN","BRIBES")))))))</f>
        <v>BRIBES</v>
      </c>
      <c r="S26" s="341"/>
      <c r="T26" s="341"/>
      <c r="U26" s="341"/>
      <c r="V26" s="342"/>
      <c r="W26" s="29">
        <v>0</v>
      </c>
      <c r="X26" s="23" t="s">
        <v>121</v>
      </c>
      <c r="Y26" s="299">
        <f>IFERROR(IF(BV2="Bribery and Corruption",50000,100000),100000)</f>
        <v>100000</v>
      </c>
      <c r="Z26" s="299"/>
      <c r="AA26" s="24" t="str">
        <f t="shared" si="51"/>
        <v>gp</v>
      </c>
      <c r="AB26" s="300">
        <f>IFERROR((W26-Z35)*Y26,0)</f>
        <v>0</v>
      </c>
      <c r="AC26" s="301"/>
      <c r="AD26" s="303" t="s">
        <v>149</v>
      </c>
      <c r="AE26" s="304"/>
      <c r="AF26" s="304"/>
      <c r="AG26" s="304"/>
      <c r="AH26" s="305"/>
      <c r="AI26" s="29">
        <v>0</v>
      </c>
      <c r="AJ26" s="23" t="s">
        <v>121</v>
      </c>
      <c r="AK26" s="299">
        <f>IFERROR(VLOOKUP(AD26,BL64:BM80,2,FALSE),0)</f>
        <v>0</v>
      </c>
      <c r="AL26" s="299"/>
      <c r="AM26" s="24" t="str">
        <f t="shared" si="52"/>
        <v>gp</v>
      </c>
      <c r="AN26" s="300">
        <f t="shared" si="54"/>
        <v>0</v>
      </c>
      <c r="AO26" s="301"/>
      <c r="AP26" s="314"/>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79" t="str">
        <f>IF($J$24="Español","Reto del Inframundo",(IF($J$24="Deutsch","Unterwelt-Herausforderung",(IF($J$24="Français","Défi des Bas-Fonds","Underworld Challenge")))))</f>
        <v>Underworld Challenge</v>
      </c>
      <c r="BT26" s="6" t="s">
        <v>161</v>
      </c>
      <c r="BU26" s="6"/>
      <c r="BV26" s="6"/>
      <c r="BW26" s="6"/>
      <c r="BX26" s="6"/>
      <c r="BY26" s="207" t="s">
        <v>160</v>
      </c>
      <c r="BZ26" s="161" t="s">
        <v>162</v>
      </c>
      <c r="CA26" s="60" t="s">
        <v>163</v>
      </c>
      <c r="CB26" s="4" t="s">
        <v>164</v>
      </c>
      <c r="CC26" s="207"/>
      <c r="CD26" s="4"/>
      <c r="CE26" s="200" t="s">
        <v>160</v>
      </c>
      <c r="CF26" s="200" t="s">
        <v>41</v>
      </c>
      <c r="CG26" s="200" t="s">
        <v>168</v>
      </c>
      <c r="CH26" s="200" t="s">
        <v>175</v>
      </c>
      <c r="CI26" s="5"/>
      <c r="CJ26" s="5"/>
      <c r="CK26" s="5"/>
      <c r="CL26" s="5"/>
      <c r="CM26" s="5"/>
      <c r="CN26" s="5"/>
      <c r="CO26" s="5"/>
      <c r="CP26" s="5"/>
      <c r="CQ26" s="5"/>
      <c r="CR26" s="5"/>
      <c r="CS26" s="5"/>
      <c r="CT26" s="5"/>
      <c r="CU26" s="5"/>
      <c r="CV26" s="5"/>
      <c r="CW26" s="5"/>
      <c r="CX26" s="5"/>
      <c r="CY26" s="5"/>
      <c r="CZ26" s="5"/>
    </row>
    <row r="27" spans="1:104" ht="18.75" customHeight="1">
      <c r="A27" s="336"/>
      <c r="B27" s="337"/>
      <c r="C27" s="343" t="str">
        <f>IF(J24="Italiano","COSTO SQUADRA",(IF(J24="Español","PRECIO EQUIPO",(IF(J24="Deutsch","GESAMTER TEAMWERT",(IF(J24="Français","VALEUR D’ÉQUIPE","TEAM COST")))))))</f>
        <v>TEAM COST</v>
      </c>
      <c r="D27" s="284"/>
      <c r="E27" s="284"/>
      <c r="F27" s="284"/>
      <c r="G27" s="284"/>
      <c r="H27" s="284"/>
      <c r="I27" s="285"/>
      <c r="J27" s="351">
        <f>J25+J26</f>
        <v>990</v>
      </c>
      <c r="K27" s="352"/>
      <c r="L27" s="352"/>
      <c r="M27" s="352"/>
      <c r="N27" s="353" t="str">
        <f>IF(J24="Español","k mo",(IF(J24="Deutsch","k gm",(IF(J24="Français","k po","k gp")))))</f>
        <v>k gp</v>
      </c>
      <c r="O27" s="284"/>
      <c r="P27" s="284"/>
      <c r="Q27" s="285"/>
      <c r="R27" s="340" t="str">
        <f>IF(J24="Italiano","CAPOCUOCO",(IF(J24="Español","MASTER CHEF",(IF(J24="Deutsch","HALBLING-MEISTERKOCH",(IF(J24="Français","CHEF CUISTOT","MASTER CHEF")))))))</f>
        <v>MASTER CHEF</v>
      </c>
      <c r="S27" s="341"/>
      <c r="T27" s="341"/>
      <c r="U27" s="341"/>
      <c r="V27" s="342"/>
      <c r="W27" s="29">
        <v>0</v>
      </c>
      <c r="X27" s="23" t="s">
        <v>121</v>
      </c>
      <c r="Y27" s="299">
        <f>IFERROR(IF(OR(BO1="Halfling",BO1="Halflings",BO1="Halflinge"),100000,300000),300000)</f>
        <v>300000</v>
      </c>
      <c r="Z27" s="299"/>
      <c r="AA27" s="24" t="str">
        <f t="shared" si="51"/>
        <v>gp</v>
      </c>
      <c r="AB27" s="300">
        <f>IFERROR(IF(U35="NO",W27*Y27,0),0)</f>
        <v>0</v>
      </c>
      <c r="AC27" s="301"/>
      <c r="AD27" s="303" t="s">
        <v>155</v>
      </c>
      <c r="AE27" s="304"/>
      <c r="AF27" s="304"/>
      <c r="AG27" s="304"/>
      <c r="AH27" s="305"/>
      <c r="AI27" s="29">
        <v>0</v>
      </c>
      <c r="AJ27" s="23" t="s">
        <v>121</v>
      </c>
      <c r="AK27" s="299">
        <f>IFERROR(VLOOKUP(AD27,BO65:BP80,2,FALSE),0)</f>
        <v>0</v>
      </c>
      <c r="AL27" s="299"/>
      <c r="AM27" s="24" t="str">
        <f t="shared" si="52"/>
        <v>gp</v>
      </c>
      <c r="AN27" s="300">
        <f t="shared" si="54"/>
        <v>0</v>
      </c>
      <c r="AO27" s="301"/>
      <c r="AP27" s="314"/>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79"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7" t="s">
        <v>166</v>
      </c>
      <c r="BZ27" s="207" t="s">
        <v>167</v>
      </c>
      <c r="CA27" s="60" t="s">
        <v>168</v>
      </c>
      <c r="CB27" s="4" t="s">
        <v>169</v>
      </c>
      <c r="CC27" s="4"/>
      <c r="CD27" s="4"/>
      <c r="CE27" s="200" t="s">
        <v>166</v>
      </c>
      <c r="CF27" s="200" t="s">
        <v>58</v>
      </c>
      <c r="CG27" s="200" t="s">
        <v>174</v>
      </c>
      <c r="CH27" s="200" t="s">
        <v>164</v>
      </c>
      <c r="CI27" s="5"/>
      <c r="CJ27" s="5"/>
      <c r="CK27" s="5"/>
      <c r="CL27" s="5"/>
      <c r="CM27" s="5"/>
      <c r="CN27" s="5"/>
      <c r="CO27" s="5"/>
      <c r="CP27" s="5"/>
      <c r="CQ27" s="5"/>
      <c r="CR27" s="5"/>
      <c r="CS27" s="5"/>
      <c r="CT27" s="5"/>
      <c r="CU27" s="5"/>
      <c r="CV27" s="5"/>
      <c r="CW27" s="5"/>
      <c r="CX27" s="5"/>
      <c r="CY27" s="5"/>
      <c r="CZ27" s="5"/>
    </row>
    <row r="28" spans="1:104" ht="18.75" customHeight="1">
      <c r="A28" s="336"/>
      <c r="B28" s="337"/>
      <c r="C28" s="343" t="str">
        <f>IF(J24="Italiano","COSTO AVANZAMENTI",(IF(J24="Español","PRECIO SUBIDAS",(IF(J24="Deutsch","WERT DER VERBESSERUNG",(IF(J24="Français","VALEUR AMÉLIORATION","COST UPGRADES")))))))</f>
        <v>COST UPGRADES</v>
      </c>
      <c r="D28" s="284"/>
      <c r="E28" s="284"/>
      <c r="F28" s="284"/>
      <c r="G28" s="284"/>
      <c r="H28" s="284"/>
      <c r="I28" s="285"/>
      <c r="J28" s="351">
        <f>(SUM(BI46:BI61))/1000</f>
        <v>0</v>
      </c>
      <c r="K28" s="352"/>
      <c r="L28" s="352"/>
      <c r="M28" s="352"/>
      <c r="N28" s="353" t="str">
        <f>IF(J24="Español","k mo",(IF(J24="Deutsch","k gm",(IF(J24="Français","k po","k gp")))))</f>
        <v>k gp</v>
      </c>
      <c r="O28" s="284"/>
      <c r="P28" s="284"/>
      <c r="Q28" s="285"/>
      <c r="R28" s="362" t="str">
        <f>IF(J24="Italiano","ESORDIENTI RIBELLI",(IF(J24="Español","NOVATOS ALBOROTADORES",(IF(J24="Deutsch","RANDALIERENDE NEULINGE",(IF(J24="Français","DÉBUTANTS DÉCHAINÉS","RIOTOUS ROOKIES")))))))</f>
        <v>RIOTOUS ROOKIES</v>
      </c>
      <c r="S28" s="299"/>
      <c r="T28" s="299"/>
      <c r="U28" s="299"/>
      <c r="V28" s="363"/>
      <c r="W28" s="30">
        <v>0</v>
      </c>
      <c r="X28" s="23" t="s">
        <v>121</v>
      </c>
      <c r="Y28" s="299">
        <f>IFERROR(IF(BW2="LowCost",100000,0),0)</f>
        <v>0</v>
      </c>
      <c r="Z28" s="299"/>
      <c r="AA28" s="27" t="str">
        <f t="shared" si="51"/>
        <v>gp</v>
      </c>
      <c r="AB28" s="300">
        <f>IFERROR(IF(AE35="NO",W28*Y28,0),0)</f>
        <v>0</v>
      </c>
      <c r="AC28" s="301"/>
      <c r="AD28" s="340" t="str">
        <f>IF(J24="Italiano","MEDICI VAGABONDI",(IF(J24="Español","MÉDICO ERRANTE",(IF(J24="Deutsch","WANDERNDER SANITÄTER",(IF(J24="Français","APO ITINÉRANT","WANDERING APO")))))))</f>
        <v>WANDERING APO</v>
      </c>
      <c r="AE28" s="341"/>
      <c r="AF28" s="341"/>
      <c r="AG28" s="341"/>
      <c r="AH28" s="342"/>
      <c r="AI28" s="29">
        <v>0</v>
      </c>
      <c r="AJ28" s="23" t="s">
        <v>121</v>
      </c>
      <c r="AK28" s="299">
        <f>IFERROR(IF(AK21=0,0,100000),0)</f>
        <v>100000</v>
      </c>
      <c r="AL28" s="299"/>
      <c r="AM28" s="24" t="str">
        <f t="shared" si="52"/>
        <v>gp</v>
      </c>
      <c r="AN28" s="300">
        <f t="shared" si="54"/>
        <v>0</v>
      </c>
      <c r="AO28" s="301"/>
      <c r="AP28" s="314"/>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79" t="str">
        <f>IF($J$24="Español","Selectiva de Sylvania",(IF($J$24="Deutsch","Sylvanisches Rampenlicht",(IF($J$24="Français","Spot de Sylvanie","Sylvanian Spotlight")))))</f>
        <v>Sylvanian Spotlight</v>
      </c>
      <c r="BT28" s="6" t="s">
        <v>116</v>
      </c>
      <c r="BU28" s="6" t="s">
        <v>117</v>
      </c>
      <c r="BV28" s="6"/>
      <c r="BW28" s="6"/>
      <c r="BX28" s="6"/>
      <c r="BY28" s="207" t="s">
        <v>171</v>
      </c>
      <c r="BZ28" s="207" t="s">
        <v>173</v>
      </c>
      <c r="CA28" s="60" t="s">
        <v>174</v>
      </c>
      <c r="CB28" s="4" t="s">
        <v>175</v>
      </c>
      <c r="CC28" s="4"/>
      <c r="CD28" s="4"/>
      <c r="CE28" s="200" t="s">
        <v>171</v>
      </c>
      <c r="CF28" s="200" t="s">
        <v>162</v>
      </c>
      <c r="CG28" s="200" t="s">
        <v>179</v>
      </c>
      <c r="CH28" s="200" t="s">
        <v>159</v>
      </c>
      <c r="CI28" s="5"/>
      <c r="CJ28" s="5"/>
      <c r="CK28" s="5"/>
      <c r="CL28" s="5"/>
      <c r="CM28" s="5"/>
      <c r="CN28" s="5"/>
      <c r="CO28" s="5"/>
      <c r="CP28" s="5"/>
      <c r="CQ28" s="5"/>
      <c r="CR28" s="5"/>
      <c r="CS28" s="5"/>
      <c r="CT28" s="5"/>
      <c r="CU28" s="5"/>
      <c r="CV28" s="5"/>
      <c r="CW28" s="5"/>
      <c r="CX28" s="5"/>
      <c r="CY28" s="5"/>
      <c r="CZ28" s="5"/>
    </row>
    <row r="29" spans="1:104" ht="18.75" customHeight="1">
      <c r="A29" s="336"/>
      <c r="B29" s="337"/>
      <c r="C29" s="348" t="str">
        <f>IF(J24="Italiano","TESORERIA",(IF(J24="Español","TESORERÍA",(IF(J24="Deutsch","TEAMKASSE",(IF(J24="Français","TRÉSORERIE","TREASURY")))))))</f>
        <v>TREASURY</v>
      </c>
      <c r="D29" s="349"/>
      <c r="E29" s="349"/>
      <c r="F29" s="349"/>
      <c r="G29" s="349"/>
      <c r="H29" s="349"/>
      <c r="I29" s="350"/>
      <c r="J29" s="351">
        <f>(C35/1000)-J27</f>
        <v>210</v>
      </c>
      <c r="K29" s="352"/>
      <c r="L29" s="352"/>
      <c r="M29" s="352"/>
      <c r="N29" s="353" t="str">
        <f>IF(J24="Español","k mo",(IF(J24="Deutsch","k gm",(IF(J24="Français","k po","k gp")))))</f>
        <v>k gp</v>
      </c>
      <c r="O29" s="284"/>
      <c r="P29" s="284"/>
      <c r="Q29" s="285"/>
      <c r="R29" s="340" t="str">
        <f>IF(J24="Italiano","CARTE SPECIALI",(IF(J24="Español","CARTA ESPECIAL",(IF(J24="Deutsch","SONDERKARTEN",(IF(J24="Français","CARTE SPECIALE","SPECIAL CARD")))))))</f>
        <v>SPECIAL CARD</v>
      </c>
      <c r="S29" s="341"/>
      <c r="T29" s="341"/>
      <c r="U29" s="341"/>
      <c r="V29" s="342"/>
      <c r="W29" s="29">
        <v>0</v>
      </c>
      <c r="X29" s="23" t="s">
        <v>121</v>
      </c>
      <c r="Y29" s="299">
        <v>100000</v>
      </c>
      <c r="Z29" s="299"/>
      <c r="AA29" s="24" t="str">
        <f t="shared" si="51"/>
        <v>gp</v>
      </c>
      <c r="AB29" s="300">
        <f>IFERROR(W29*Y29,0)</f>
        <v>0</v>
      </c>
      <c r="AC29" s="301"/>
      <c r="AD29" s="340" t="str">
        <f>IF(J24="Español","ESPÓNSOR","SPONSORS")</f>
        <v>SPONSORS</v>
      </c>
      <c r="AE29" s="341"/>
      <c r="AF29" s="341"/>
      <c r="AG29" s="341"/>
      <c r="AH29" s="342"/>
      <c r="AI29" s="303" t="s">
        <v>165</v>
      </c>
      <c r="AJ29" s="304"/>
      <c r="AK29" s="304"/>
      <c r="AL29" s="304"/>
      <c r="AM29" s="304"/>
      <c r="AN29" s="304"/>
      <c r="AO29" s="305"/>
      <c r="AP29" s="314"/>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79"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7" t="s">
        <v>176</v>
      </c>
      <c r="BZ29" s="207" t="s">
        <v>178</v>
      </c>
      <c r="CA29" s="60" t="s">
        <v>179</v>
      </c>
      <c r="CB29" s="4" t="s">
        <v>180</v>
      </c>
      <c r="CC29" s="4"/>
      <c r="CD29" s="4"/>
      <c r="CE29" s="200" t="s">
        <v>176</v>
      </c>
      <c r="CF29" s="200" t="s">
        <v>157</v>
      </c>
      <c r="CG29" s="200" t="s">
        <v>183</v>
      </c>
      <c r="CH29" s="200" t="s">
        <v>169</v>
      </c>
      <c r="CI29" s="5"/>
      <c r="CJ29" s="5"/>
      <c r="CK29" s="5"/>
      <c r="CL29" s="5"/>
      <c r="CM29" s="5"/>
      <c r="CN29" s="5"/>
      <c r="CO29" s="5"/>
      <c r="CP29" s="5"/>
      <c r="CQ29" s="5"/>
      <c r="CR29" s="5"/>
      <c r="CS29" s="5"/>
      <c r="CT29" s="5"/>
      <c r="CU29" s="5"/>
      <c r="CV29" s="5"/>
      <c r="CW29" s="5"/>
      <c r="CX29" s="5"/>
      <c r="CY29" s="5"/>
      <c r="CZ29" s="5"/>
    </row>
    <row r="30" spans="1:104" ht="18.75" customHeight="1">
      <c r="A30" s="338"/>
      <c r="B30" s="339"/>
      <c r="C30" s="373" t="str">
        <f>IF(J24="Italiano","VALORE SQUADRA",(IF(J24="Español","VALOR DEL EQUIPO",(IF(J24="Deutsch","TEAMWERT",(IF(J24="Français","VALEUR D’ÉQUIPE ACTUELLE","TEAM VALUE")))))))</f>
        <v>TEAM VALUE</v>
      </c>
      <c r="D30" s="374"/>
      <c r="E30" s="374"/>
      <c r="F30" s="374"/>
      <c r="G30" s="374"/>
      <c r="H30" s="374"/>
      <c r="I30" s="375"/>
      <c r="J30" s="371">
        <f>(J25+(SUM(AQ2:AQ17)))</f>
        <v>990</v>
      </c>
      <c r="K30" s="371"/>
      <c r="L30" s="371"/>
      <c r="M30" s="371"/>
      <c r="N30" s="371"/>
      <c r="O30" s="371"/>
      <c r="P30" s="371"/>
      <c r="Q30" s="372"/>
      <c r="R30" s="362" t="str">
        <f>IF(J24="Italiano","REGOLE SPECIALI",(IF(J24="Español","REGLA ESPECIAL",(IF(J24="Deutsch","SONDERREGELN",(IF(J24="Français","RÈGLES SPÉCIALES","SPECIAL RULES")))))))</f>
        <v>SPECIAL RULES</v>
      </c>
      <c r="S30" s="299"/>
      <c r="T30" s="299"/>
      <c r="U30" s="299"/>
      <c r="V30" s="363"/>
      <c r="W30" s="364" t="str">
        <f>IFERROR(VLOOKUP(BO1,BL:BU,8,0),"")</f>
        <v>Elven Kingdoms League</v>
      </c>
      <c r="X30" s="365"/>
      <c r="Y30" s="365"/>
      <c r="Z30" s="365"/>
      <c r="AA30" s="365"/>
      <c r="AB30" s="365"/>
      <c r="AC30" s="365"/>
      <c r="AD30" s="365"/>
      <c r="AE30" s="365"/>
      <c r="AF30" s="365"/>
      <c r="AG30" s="365"/>
      <c r="AH30" s="365"/>
      <c r="AI30" s="365"/>
      <c r="AJ30" s="317" t="s">
        <v>170</v>
      </c>
      <c r="AK30" s="317"/>
      <c r="AL30" s="317"/>
      <c r="AM30" s="318"/>
      <c r="AN30" s="318"/>
      <c r="AO30" s="319"/>
      <c r="AP30" s="314"/>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79" t="str">
        <f>IF($J$24="Español","Selectiva de Sylvania",(IF($J$24="Deutsch","Sylvanisches Rampenlicht",(IF($J$24="Français","Spot de Sylvanie","Sylvanian Spotlight")))))</f>
        <v>Sylvanian Spotlight</v>
      </c>
      <c r="BT30" s="6" t="s">
        <v>116</v>
      </c>
      <c r="BU30" s="6" t="s">
        <v>117</v>
      </c>
      <c r="BV30" s="6"/>
      <c r="BW30" s="6"/>
      <c r="BX30" s="6"/>
      <c r="BY30" s="207" t="s">
        <v>181</v>
      </c>
      <c r="BZ30" s="207" t="s">
        <v>182</v>
      </c>
      <c r="CA30" s="60" t="s">
        <v>183</v>
      </c>
      <c r="CB30" s="4" t="s">
        <v>184</v>
      </c>
      <c r="CC30" s="17"/>
      <c r="CD30" s="4"/>
      <c r="CE30" s="200" t="s">
        <v>181</v>
      </c>
      <c r="CF30" s="200" t="s">
        <v>167</v>
      </c>
      <c r="CG30" s="200" t="s">
        <v>188</v>
      </c>
      <c r="CH30" s="200" t="s">
        <v>80</v>
      </c>
      <c r="CI30" s="5"/>
      <c r="CJ30" s="5"/>
      <c r="CK30" s="5"/>
      <c r="CL30" s="5"/>
      <c r="CM30" s="5"/>
      <c r="CN30" s="5"/>
      <c r="CO30" s="5"/>
      <c r="CP30" s="5"/>
      <c r="CQ30" s="5"/>
      <c r="CR30" s="5"/>
      <c r="CS30" s="5"/>
      <c r="CT30" s="5"/>
      <c r="CU30" s="5"/>
      <c r="CV30" s="5"/>
      <c r="CW30" s="5"/>
      <c r="CX30" s="5"/>
      <c r="CY30" s="5"/>
      <c r="CZ30" s="5"/>
    </row>
    <row r="31" spans="1:104" ht="21.75" customHeight="1">
      <c r="A31" s="376" t="str">
        <f>IF(J24="Italiano","v4.5 - Creato da dreamscreator",(IF(J24="Español","v4.5 - Creado por dreamscreator",(IF(J24="Deutsch","v4.5 - Erstellt von dreamscreator",(IF(J24="Français","v4.5 Créé par dreamscreator","v4.5 - Created by dreamscreator")))))))</f>
        <v>v4.5 - Created by dreamscreator</v>
      </c>
      <c r="B31" s="376"/>
      <c r="C31" s="376"/>
      <c r="D31" s="370" t="str">
        <f>B65&amp;B66&amp;B67&amp;B68&amp;B69&amp;B70&amp;B71&amp;B72&amp;B73</f>
        <v/>
      </c>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14"/>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79" t="str">
        <f>IF($J$24="Español","Liga de los Reinos Elfos",(IF($J$24="Deutsch","Liga der Elfenkönigreiche",(IF($J$24="Français","Ligue des Royaumes Elfiques","Elven Kingdoms League")))))</f>
        <v>Elven Kingdoms League</v>
      </c>
      <c r="BT31" s="6" t="s">
        <v>67</v>
      </c>
      <c r="BU31" s="6"/>
      <c r="BV31" s="6"/>
      <c r="BW31" s="6"/>
      <c r="BX31" s="6"/>
      <c r="BY31" s="207" t="s">
        <v>185</v>
      </c>
      <c r="BZ31" s="207" t="s">
        <v>187</v>
      </c>
      <c r="CA31" s="60" t="s">
        <v>188</v>
      </c>
      <c r="CB31" s="4" t="s">
        <v>189</v>
      </c>
      <c r="CC31" s="17"/>
      <c r="CD31" s="4"/>
      <c r="CE31" s="200" t="s">
        <v>185</v>
      </c>
      <c r="CF31" s="200" t="s">
        <v>182</v>
      </c>
      <c r="CG31" s="200" t="s">
        <v>74</v>
      </c>
      <c r="CH31" s="200" t="s">
        <v>184</v>
      </c>
      <c r="CI31" s="5"/>
      <c r="CJ31" s="5"/>
      <c r="CK31" s="5"/>
      <c r="CL31" s="5"/>
      <c r="CM31" s="5"/>
      <c r="CN31" s="5"/>
      <c r="CO31" s="5"/>
      <c r="CP31" s="5"/>
      <c r="CQ31" s="5"/>
      <c r="CR31" s="5"/>
      <c r="CS31" s="5"/>
      <c r="CT31" s="5"/>
      <c r="CU31" s="5"/>
      <c r="CV31" s="5"/>
      <c r="CW31" s="5"/>
      <c r="CX31" s="5"/>
      <c r="CY31" s="5"/>
      <c r="CZ31" s="5"/>
    </row>
    <row r="32" spans="1:104" ht="18" customHeight="1">
      <c r="A32" s="377" t="str">
        <f>IF(J24="Italiano","Tradotto da Leonida https://bloodbowlhelp.wordpress.com",(IF(J24="Deutsch","Übersetzt von Coach Grong https://bloodbowlhelp.wordpress.com",(IF(J24="Français","Traduit par Fennec https://bloodbowlhelp.wordpress.com","https://bloodbowlhelp.wordpress.com")))))</f>
        <v>https://bloodbowlhelp.wordpress.com</v>
      </c>
      <c r="B32" s="377"/>
      <c r="C32" s="377"/>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14"/>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c r="A33" s="31"/>
      <c r="B33" s="366" t="str">
        <f>IF(J24="Italiano","REGOLE DEL TORNEO",(IF(J24="Español","REGLAMENTO DEL TORNEO",(IF(J24="Deutsch","TURNIERREGELN",(IF(J24="Français","RÈGLES DE TOURNOI","TOURNEY RULESET")))))))</f>
        <v>TOURNEY RULESET</v>
      </c>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14"/>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c r="A34" s="31"/>
      <c r="B34" s="367" t="str">
        <f>IF(J24="Italiano","Regole Generali",(IF(J24="Español","Reglas generales",(IF(J24="Deutsch","Allgemeine Regeln",(IF(J24="Français","Règles générales","General rules")))))))</f>
        <v>General rules</v>
      </c>
      <c r="C34" s="367"/>
      <c r="D34" s="367"/>
      <c r="E34" s="367"/>
      <c r="F34" s="367"/>
      <c r="G34" s="367"/>
      <c r="H34" s="367"/>
      <c r="I34" s="367"/>
      <c r="J34" s="367"/>
      <c r="K34" s="367"/>
      <c r="L34" s="367"/>
      <c r="M34" s="367"/>
      <c r="N34" s="367"/>
      <c r="O34" s="367"/>
      <c r="P34" s="368"/>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14"/>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59"/>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c r="A35" s="31"/>
      <c r="B35" s="3" t="str">
        <f>IF(J24="Italiano","VALORE SQUADRA",(IF(J24="Español","VALOR DEL EQUIPO",(IF(J24="Deutsch","TEAMWERT",(IF(J24="Français","VALEUR D’ÉQUIPE ACTUELLE","TEAM VALUE")))))))</f>
        <v>TEAM VALUE</v>
      </c>
      <c r="C35" s="378">
        <v>1200000</v>
      </c>
      <c r="D35" s="379"/>
      <c r="E35" s="320" t="str">
        <f>IF(J24="Español","MAX. ESTRELLAS Y MERCENARIOS",(IF(J24="Deutsch","MAX. STARSPIELER &amp; MERCENARIES",(IF(J24="Français","MERCENAIRE &amp; STARS MAX","MAX. STARS &amp; MERCENARIES")))))</f>
        <v>MAX. STARS &amp; MERCENARIES</v>
      </c>
      <c r="F35" s="321"/>
      <c r="G35" s="321"/>
      <c r="H35" s="321"/>
      <c r="I35" s="321"/>
      <c r="J35" s="322"/>
      <c r="K35" s="37">
        <v>3</v>
      </c>
      <c r="L35" s="320" t="str">
        <f>IF(J24="Español","LINEMEN PRESCINDIBLES",(IF(J24="Deutsch","BILLIGE LINEMEN",(IF(J24="Français","LINEMEN A VIL PRIX","LOW COST LINEMEN")))))</f>
        <v>LOW COST LINEMEN</v>
      </c>
      <c r="M35" s="321"/>
      <c r="N35" s="321"/>
      <c r="O35" s="321"/>
      <c r="P35" s="208" t="s">
        <v>190</v>
      </c>
      <c r="Q35" s="321" t="str">
        <f>IF(J24="Italiano","CAPOCUOCO GRATUITO",(IF(J24="Español","MASTER CHEF GRATIS",(IF(J24="Deutsch","FREIER HALBLING-MEISTERKOCH",(IF(J24="Français","CHEF CUISTOT GRATUIT","FREE MASTER CHEF")))))))</f>
        <v>FREE MASTER CHEF</v>
      </c>
      <c r="R35" s="321"/>
      <c r="S35" s="321"/>
      <c r="T35" s="322"/>
      <c r="U35" s="38" t="s">
        <v>190</v>
      </c>
      <c r="V35" s="320" t="str">
        <f>IF(J24="Italiano","MAZZETTE GRATUITE",(IF(J24="Español","SOBORNOS GRATIS",(IF(J24="Deutsch","FREIE BESTECHUNGEN",(IF(J24="Français","POTS-DE-VIN GRATUIT","FREE BRIBES")))))))</f>
        <v>FREE BRIBES</v>
      </c>
      <c r="W35" s="321"/>
      <c r="X35" s="321"/>
      <c r="Y35" s="322"/>
      <c r="Z35" s="38">
        <v>0</v>
      </c>
      <c r="AA35" s="320" t="str">
        <f>IF(J24="Italiano","ESORDIENTI RIBELLI GRATUITI",(IF(J24="Español","NOVATOS ALBOROTADORES GRATIS",(IF(J24="Deutsch","FREIE RANDALIE- RENDE NEULINGE",(IF(J24="Français","DÉBUTANTS DÉCHAÎNÉS GRATUITS","FREE RIOTOUS ROOKIES")))))))</f>
        <v>FREE RIOTOUS ROOKIES</v>
      </c>
      <c r="AB35" s="321"/>
      <c r="AC35" s="321"/>
      <c r="AD35" s="322"/>
      <c r="AE35" s="38" t="s">
        <v>190</v>
      </c>
      <c r="AF35" s="320" t="str">
        <f>IF(J24="Italiano","MEDICO GRATUITO",(IF(J24="Español","MÉDICO GRATIS",(IF(J24="Deutsch","FREIER SANITÄTER",(IF(J24="Français","APOTHICAIRE GRATUIT","FREE APOTHECARY")))))))</f>
        <v>FREE APOTHECARY</v>
      </c>
      <c r="AG35" s="321"/>
      <c r="AH35" s="321"/>
      <c r="AI35" s="322"/>
      <c r="AJ35" s="37" t="s">
        <v>190</v>
      </c>
      <c r="AK35" s="320" t="str">
        <f>IF(J24="Italiano","FUSTO BLOODWEISER GRATUITO",(IF(J24="Español","BARRILES BLOODWEISER GRATIS",(IF(J24="Deutsch","FREIE BLOOD- WEISER FÄSSER",(IF(J24="Français","FÛTS DE BLOOWEISER GRATUIT","FREE BLOODWEISER KEGS")))))))</f>
        <v>FREE BLOODWEISER KEGS</v>
      </c>
      <c r="AL35" s="321"/>
      <c r="AM35" s="321"/>
      <c r="AN35" s="322"/>
      <c r="AO35" s="38">
        <v>0</v>
      </c>
      <c r="AP35" s="314"/>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7"/>
      <c r="BZ35" s="207"/>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c r="A36" s="31"/>
      <c r="B36" s="369" t="str">
        <f>IF(J24="Italiano","Regole Abilità",(IF(J24="Español","Reglas habilidades",(IF(J24="Deutsch","Regelkenntnisse",(IF(J24="Français","Compétences en matière de règles","Rules skills")))))))</f>
        <v>Rules skills</v>
      </c>
      <c r="C36" s="369"/>
      <c r="D36" s="369"/>
      <c r="E36" s="369"/>
      <c r="F36" s="369"/>
      <c r="G36" s="369"/>
      <c r="H36" s="369"/>
      <c r="I36" s="369"/>
      <c r="J36" s="369"/>
      <c r="K36" s="369"/>
      <c r="L36" s="369"/>
      <c r="M36" s="369"/>
      <c r="N36" s="369"/>
      <c r="O36" s="369"/>
      <c r="P36" s="368"/>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14"/>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7"/>
      <c r="BZ36" s="207"/>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c r="A37" s="31"/>
      <c r="B37" s="39" t="str">
        <f>IF(J24="Italiano","MAX. ABILITÀ TOTALI",(IF(J24="Español","MAX. TOTAL HABILIDADES",(IF(J24="Deutsch","MAX. FERTIG- KEITEN GESAMT",(IF(J24="Français","NB COMPÉTENCES MAX","MAX. TOTAL SKILLS")))))))</f>
        <v>MAX. TOTAL SKILLS</v>
      </c>
      <c r="C37" s="323">
        <v>6</v>
      </c>
      <c r="D37" s="324"/>
      <c r="E37" s="320" t="str">
        <f>IF(J24="Italiano","MAX. PRIMARIE",(IF(J24="Español","MAX. PRIMARIAS",(IF(J24="Deutsch","MAX. PRIMÄRE",(IF(J24="Français","COMP PRIMAIRES MAX","MAX. PRIMARY")))))))</f>
        <v>MAX. PRIMARY</v>
      </c>
      <c r="F37" s="321"/>
      <c r="G37" s="321"/>
      <c r="H37" s="321"/>
      <c r="I37" s="321"/>
      <c r="J37" s="322"/>
      <c r="K37" s="323">
        <v>6</v>
      </c>
      <c r="L37" s="324"/>
      <c r="M37" s="320" t="str">
        <f>IF(J24="Italiano","MAX. SECONDARIE",(IF(J24="Español","MAX. SECUNDARIAS",(IF(J24="Deutsch","MAX. SEKUNDÄRE",(IF(J24="Français","COMP SECONDAIRES MAX","MAX. SECONDARY")))))))</f>
        <v>MAX. SECONDARY</v>
      </c>
      <c r="N37" s="321"/>
      <c r="O37" s="321"/>
      <c r="P37" s="322"/>
      <c r="Q37" s="323">
        <v>1</v>
      </c>
      <c r="R37" s="324"/>
      <c r="S37" s="320" t="str">
        <f>IF(J24="Italiano","MAX. STATISTICHE",(IF(J24="Español","MAX. ATRIBUTOS",(IF(J24="Deutsch","MAX. EIGENSCHAFTEN",(IF(J24="Français","CARACTÉRISTIQUES MAX","MAX. STATS")))))))</f>
        <v>MAX. STATS</v>
      </c>
      <c r="T37" s="321"/>
      <c r="U37" s="321"/>
      <c r="V37" s="322"/>
      <c r="W37" s="323" t="s">
        <v>190</v>
      </c>
      <c r="X37" s="324"/>
      <c r="Y37" s="325" t="str">
        <f>IF(J24="Italiano","SPP DA SPENDERE",(IF(J24="Español","SPP PARA GASTAR",(IF(J24="Deutsch","SPP ZUM AUSGEBEN",(IF(J24="Français","PSP À DÉPENSER","SPP TO EXPEND")))))))</f>
        <v>SPP TO EXPEND</v>
      </c>
      <c r="Z37" s="326"/>
      <c r="AA37" s="326"/>
      <c r="AB37" s="327"/>
      <c r="AC37" s="323" t="s">
        <v>190</v>
      </c>
      <c r="AD37" s="324"/>
      <c r="AE37" s="325"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326"/>
      <c r="AG37" s="326"/>
      <c r="AH37" s="326"/>
      <c r="AI37" s="327"/>
      <c r="AJ37" s="323" t="s">
        <v>190</v>
      </c>
      <c r="AK37" s="324"/>
      <c r="AL37" s="25"/>
      <c r="AM37" s="25"/>
      <c r="AN37" s="25"/>
      <c r="AO37" s="25"/>
      <c r="AP37" s="314"/>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7"/>
      <c r="BZ37" s="207"/>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c r="A38" s="31"/>
      <c r="B38" s="40" t="str">
        <f>IF(J24="Italiano","COSTO PRIMARIE",(IF(J24="Español","COSTE PRIMARIAS",(IF(J24="Deutsch","Σ PRIMÄRE",(IF(J24="Français","COÛT EN PRIMAIRES","COST PRIMARY")))))))</f>
        <v>COST PRIMARY</v>
      </c>
      <c r="C38" s="323" t="s">
        <v>190</v>
      </c>
      <c r="D38" s="324"/>
      <c r="E38" s="325" t="str">
        <f>IF(J24="Italiano","COSTO SECONDARIE",(IF(J24="Español","COSTE SECUNDARIAS",(IF(J24="Deutsch","Σ SEKUNDÄRE",(IF(J24="Français","COÛT EN SECONDAIRES","COST SECONDARY")))))))</f>
        <v>COST SECONDARY</v>
      </c>
      <c r="F38" s="326"/>
      <c r="G38" s="326"/>
      <c r="H38" s="326"/>
      <c r="I38" s="326"/>
      <c r="J38" s="327"/>
      <c r="K38" s="323" t="s">
        <v>190</v>
      </c>
      <c r="L38" s="324"/>
      <c r="M38" s="325" t="str">
        <f>IF(J24="Italiano","COSTO MA",(IF(J24="Español","COSTE MO",(IF(J24="Deutsch","Σ BE",(IF(J24="Français","COÛT EN M","COST MA")))))))</f>
        <v>COST MA</v>
      </c>
      <c r="N38" s="326"/>
      <c r="O38" s="327"/>
      <c r="P38" s="323" t="s">
        <v>190</v>
      </c>
      <c r="Q38" s="324"/>
      <c r="R38" s="325" t="str">
        <f>IF(J24="Italiano","COSTO ST",(IF(J24="Español","COSTE FU",(IF(J24="Deutsch","Σ ST",(IF(J24="Français","COÛT EN F","COST ST")))))))</f>
        <v>COST ST</v>
      </c>
      <c r="S38" s="326"/>
      <c r="T38" s="327"/>
      <c r="U38" s="323" t="s">
        <v>190</v>
      </c>
      <c r="V38" s="324"/>
      <c r="W38" s="325" t="str">
        <f>IF(J24="Italiano","COSTO PA",(IF(J24="Español","COSTE PA",(IF(J24="Deutsch","Σ WG",(IF(J24="Français","COÛT EN CP","COST PA")))))))</f>
        <v>COST PA</v>
      </c>
      <c r="X38" s="326"/>
      <c r="Y38" s="327"/>
      <c r="Z38" s="323" t="s">
        <v>190</v>
      </c>
      <c r="AA38" s="324"/>
      <c r="AB38" s="325" t="str">
        <f>IF(J24="Italiano","COSTO AG",(IF(J24="Español","COSTE AG",(IF(J24="Deutsch","Σ GE",(IF(J24="Français","COÛT EN AG","COST AG")))))))</f>
        <v>COST AG</v>
      </c>
      <c r="AC38" s="326"/>
      <c r="AD38" s="327"/>
      <c r="AE38" s="323" t="s">
        <v>190</v>
      </c>
      <c r="AF38" s="324"/>
      <c r="AG38" s="325" t="str">
        <f>IF(J24="Italiano","COSTO AV",(IF(J24="Español","COSTE AR",(IF(J24="Deutsch","Σ RW",(IF(J24="Français","COÛT EN AR","COST AV")))))))</f>
        <v>COST AV</v>
      </c>
      <c r="AH38" s="326"/>
      <c r="AI38" s="327"/>
      <c r="AJ38" s="323" t="s">
        <v>190</v>
      </c>
      <c r="AK38" s="324"/>
      <c r="AL38" s="25"/>
      <c r="AM38" s="25"/>
      <c r="AN38" s="25"/>
      <c r="AO38" s="25"/>
      <c r="AP38" s="314"/>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7"/>
      <c r="BZ38" s="207"/>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c r="A39" s="31"/>
      <c r="B39" s="368" t="str">
        <f>IF(J24="Italiano","Riassunto della squadra",(IF(J24="Español","Resumen del equipo",(IF(J24="Deutsch","Zusammenfassung der Mannschaft",(IF(J24="Français","Résumé de l'équipe","Team summary")))))))</f>
        <v>Team summary</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14"/>
      <c r="AQ39" s="264"/>
      <c r="AR39" s="264"/>
      <c r="AS39" s="264"/>
      <c r="AT39" s="264"/>
      <c r="AU39" s="264"/>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7"/>
      <c r="BZ39" s="207"/>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c r="A40" s="273"/>
      <c r="B40" s="272" t="str">
        <f>IF(J24="Italiano","VALORE SQUADRA",(IF(J24="Español","VALOR DEL EQUIPO",(IF(J24="Deutsch","TEAMWERT",(IF(J24="Français","VALEUR D’ÉQUIPE ACTUELLE","TEAM VALUE")))))))</f>
        <v>TEAM VALUE</v>
      </c>
      <c r="C40" s="289">
        <f>J30</f>
        <v>990</v>
      </c>
      <c r="D40" s="289"/>
      <c r="E40" s="288" t="str">
        <f>IF(J24="Italiano","NUMERO DI GIOCATORI",(IF(J24="Español","NÚMERO JUGADORES",(IF(J24="Deutsch","ANZAHL DER SPIELER",(IF(J24="Français","NOMBRE DE JOUEURS","NUMBER OF PLAYERS")))))))</f>
        <v>NUMBER OF PLAYERS</v>
      </c>
      <c r="F40" s="288"/>
      <c r="G40" s="288"/>
      <c r="H40" s="288"/>
      <c r="I40" s="288"/>
      <c r="J40" s="288"/>
      <c r="K40" s="288"/>
      <c r="L40" s="289">
        <f>COUNTA(C2:F17)</f>
        <v>12</v>
      </c>
      <c r="M40" s="289"/>
      <c r="N40" s="288" t="str">
        <f>IF(J24="Italiano","NUMERO DI GIOCATORI DI SPICCO",(IF(J24="Español","NÚMERO JUGADORES ESTRELLA",(IF(J24="Deutsch","ANZAHL DER STARSPIELER",(IF(J24="Français","NOMBRE DE JOUEURS VEDETTES","NUMBER OF STAR PLAYERS")))))))</f>
        <v>NUMBER OF STAR PLAYERS</v>
      </c>
      <c r="O40" s="288"/>
      <c r="P40" s="288"/>
      <c r="Q40" s="288"/>
      <c r="R40" s="288"/>
      <c r="S40" s="289">
        <f>COUNTA(C18:F20)</f>
        <v>0</v>
      </c>
      <c r="T40" s="289"/>
      <c r="U40" s="288" t="str">
        <f>IF(J24="Italiano","NUMERO DI ABILITÀ",(IF(J24="Español","NÚMERO HABILIDADES",(IF(J24="Deutsch","ZIFFERNKENNTNISSE",(IF(J24="Français","NOMBRE DE COMPÉTENCES","NUMBER OF SKILLS")))))))</f>
        <v>NUMBER OF SKILLS</v>
      </c>
      <c r="V40" s="288"/>
      <c r="W40" s="288"/>
      <c r="X40" s="288"/>
      <c r="Y40" s="288"/>
      <c r="Z40" s="292">
        <f>AZ65</f>
        <v>6</v>
      </c>
      <c r="AA40" s="292"/>
      <c r="AB40" s="288" t="str">
        <f>IF(J24="Italiano","COSTO TOTAL ABILITÀ",(IF(J24="Español","COSTE TOTAL HABILIDADES",(IF(J24="Deutsch","TOTAL KOSTENKOMPETENZEN",(IF(J24="Français","TOTAL COÛT EN COMPÉTENCES","TOTAL COST SKILLS")))))))</f>
        <v>TOTAL COST SKILLS</v>
      </c>
      <c r="AC40" s="288"/>
      <c r="AD40" s="288"/>
      <c r="AE40" s="288"/>
      <c r="AF40" s="288"/>
      <c r="AG40" s="291">
        <f>L41+Z41+AN41</f>
        <v>0</v>
      </c>
      <c r="AH40" s="292"/>
      <c r="AI40" s="288" t="str">
        <f>IF(J24="Italiano","SPP TOTALI",(IF(J24="Español","SPP TOTALES",(IF(J24="Deutsch","GESAMTE SPP",(IF(J24="Français","TOTAL PSP","TOTAL SPP")))))))</f>
        <v>TOTAL SPP</v>
      </c>
      <c r="AJ40" s="288"/>
      <c r="AK40" s="288"/>
      <c r="AL40" s="288"/>
      <c r="AM40" s="288"/>
      <c r="AN40" s="291">
        <f>SUM(AM2:AM17)</f>
        <v>0</v>
      </c>
      <c r="AO40" s="292"/>
      <c r="AP40" s="273"/>
      <c r="AQ40" s="273"/>
      <c r="AR40" s="264"/>
      <c r="AS40" s="264"/>
      <c r="AT40" s="264"/>
      <c r="AU40" s="264"/>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7"/>
      <c r="BZ40" s="207"/>
      <c r="CA40" s="207"/>
      <c r="CB40" s="207"/>
      <c r="CC40" s="207"/>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c r="A41" s="273"/>
      <c r="B41" s="272" t="str">
        <f>IF(J24="Italiano","NUMERO DI ABILITÀ PRIMARIE",(IF(J24="Español","NÚMERO HABILIDADES PRIMARIAS",(IF(J24="Deutsch","ANZAHL DER GRUNDFERTIGKEITEN",(IF(J24="Français","NOMBRE DE COMPÉTENCES PRIMAIRES","NUMBER OF PRIMARY SKILLS")))))))</f>
        <v>NUMBER OF PRIMARY SKILLS</v>
      </c>
      <c r="C41" s="289">
        <f>AX65</f>
        <v>6</v>
      </c>
      <c r="D41" s="289"/>
      <c r="E41" s="288" t="str">
        <f>IF(J24="Italiano","COSTO PRIMARIE",(IF(J24="Español","COSTE PRIMARIAS",(IF(J24="Deutsch","Σ PRIMÄRE",(IF(J24="Français","COÛT EN PRIMAIRES","COST PRIMARY")))))))</f>
        <v>COST PRIMARY</v>
      </c>
      <c r="F41" s="288"/>
      <c r="G41" s="288"/>
      <c r="H41" s="288"/>
      <c r="I41" s="288"/>
      <c r="J41" s="288"/>
      <c r="K41" s="288"/>
      <c r="L41" s="289">
        <f>IFERROR(((COUNTIF(CG46:CL61,C38))*C38),0)</f>
        <v>0</v>
      </c>
      <c r="M41" s="289"/>
      <c r="N41" s="288" t="str">
        <f>IF(J24="Italiano","NUMERO DI ABILITÀ SECONDARIE",(IF(J24="Español","NÚMERO HABILIDADES SECUNDARIAS",(IF(J24="Deutsch","ANZAHL DER SEKUNDÄREN FÄHIGKEITEN",(IF(J24="Français","NOMBRE DE COMPÉTENCES SECONDAIRES","NUMBER OF SECONDARY SKILLS")))))))</f>
        <v>NUMBER OF SECONDARY SKILLS</v>
      </c>
      <c r="O41" s="288"/>
      <c r="P41" s="288"/>
      <c r="Q41" s="288"/>
      <c r="R41" s="288"/>
      <c r="S41" s="292">
        <f>AY65</f>
        <v>0</v>
      </c>
      <c r="T41" s="292"/>
      <c r="U41" s="288" t="str">
        <f>IF(J24="Italiano","COSTO SECONDARIE",(IF(J24="Español","COSTE SECUNDARIAS",(IF(J24="Deutsch","Σ SEKUNDÄRE",(IF(J24="Français","COÛT EN SECONDAIRES","COST SECONDARY")))))))</f>
        <v>COST SECONDARY</v>
      </c>
      <c r="V41" s="288"/>
      <c r="W41" s="288"/>
      <c r="X41" s="288"/>
      <c r="Y41" s="288"/>
      <c r="Z41" s="291">
        <f>IFERROR(((COUNTIF(CG46:CL61,K38))*K38),0)</f>
        <v>0</v>
      </c>
      <c r="AA41" s="292"/>
      <c r="AB41" s="288" t="str">
        <f>IF(J24="Italiano","NUMERO DI STATISTICHE",(IF(J24="Español","NÚMERO ATRIBUTOS",(IF(J24="Deutsch","ANZAHL DER ATTRIBUTE",(IF(J24="Français","NOMBRE DE CARACTÉRISTIQUES","NUMBER OF STATS")))))))</f>
        <v>NUMBER OF STATS</v>
      </c>
      <c r="AC41" s="288"/>
      <c r="AD41" s="288"/>
      <c r="AE41" s="288"/>
      <c r="AF41" s="288"/>
      <c r="AG41" s="292">
        <f>BA65</f>
        <v>0</v>
      </c>
      <c r="AH41" s="292"/>
      <c r="AI41" s="288" t="str">
        <f>IF(J24="Italiano","COSTO STATISTICHE",(IF(J24="Español","COSTE ATRIBUTOS",(IF(J24="Deutsch","Σ  EIGENSCHAFTEN",(IF(J24="Français","COÛT EN CARACTÉRISTIQUES","COST STATS")))))))</f>
        <v>COST STATS</v>
      </c>
      <c r="AJ41" s="288"/>
      <c r="AK41" s="288"/>
      <c r="AL41" s="288"/>
      <c r="AM41" s="288"/>
      <c r="AN41" s="291">
        <f>SUM(CN46:CS61)</f>
        <v>0</v>
      </c>
      <c r="AO41" s="292"/>
      <c r="AP41" s="273"/>
      <c r="AQ41" s="273"/>
      <c r="AR41" s="264"/>
      <c r="AS41" s="264" t="str">
        <f>BW65</f>
        <v>M</v>
      </c>
      <c r="AT41" s="264"/>
      <c r="AU41" s="264"/>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7"/>
      <c r="BZ41" s="207"/>
      <c r="CA41" s="207"/>
      <c r="CB41" s="207"/>
      <c r="CC41" s="207"/>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7"/>
      <c r="BZ42" s="207"/>
      <c r="CA42" s="207"/>
      <c r="CB42" s="207"/>
      <c r="CC42" s="207"/>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7"/>
      <c r="BZ43" s="207"/>
      <c r="CA43" s="207"/>
      <c r="CB43" s="207"/>
      <c r="CC43" s="207"/>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7"/>
      <c r="BZ44" s="207"/>
      <c r="CA44" s="207"/>
      <c r="CB44" s="207"/>
      <c r="CC44" s="207"/>
      <c r="CD44" s="207"/>
      <c r="CE44" s="207"/>
      <c r="CF44" s="4"/>
      <c r="CG44" s="207"/>
      <c r="CH44" s="206"/>
      <c r="CI44" s="42"/>
      <c r="CJ44" s="42"/>
      <c r="CK44" s="42"/>
      <c r="CL44" s="42"/>
      <c r="CM44" s="5"/>
      <c r="CN44" s="5"/>
      <c r="CO44" s="5"/>
      <c r="CP44" s="5"/>
      <c r="CQ44" s="5"/>
      <c r="CR44" s="5"/>
      <c r="CS44" s="5"/>
      <c r="CT44" s="5"/>
      <c r="CU44" s="5"/>
      <c r="CV44" s="5"/>
      <c r="CW44" s="5"/>
      <c r="CX44" s="5"/>
      <c r="CY44" s="5"/>
      <c r="CZ44" s="5"/>
    </row>
    <row r="45" spans="1:104" ht="18" hidden="1"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355" t="s">
        <v>203</v>
      </c>
      <c r="BL45" s="356"/>
      <c r="BM45" s="356"/>
      <c r="BN45" s="356"/>
      <c r="BO45" s="356"/>
      <c r="BP45" s="356"/>
      <c r="BQ45" s="5"/>
      <c r="BR45" s="5"/>
      <c r="BS45" s="355" t="s">
        <v>204</v>
      </c>
      <c r="BT45" s="356"/>
      <c r="BU45" s="356"/>
      <c r="BV45" s="356"/>
      <c r="BW45" s="356"/>
      <c r="BX45" s="356"/>
      <c r="BY45" s="207"/>
      <c r="BZ45" s="355" t="s">
        <v>205</v>
      </c>
      <c r="CA45" s="380"/>
      <c r="CB45" s="380"/>
      <c r="CC45" s="380"/>
      <c r="CD45" s="380"/>
      <c r="CE45" s="380"/>
      <c r="CF45" s="207"/>
      <c r="CG45" s="355" t="s">
        <v>206</v>
      </c>
      <c r="CH45" s="356"/>
      <c r="CI45" s="356"/>
      <c r="CJ45" s="356"/>
      <c r="CK45" s="356"/>
      <c r="CL45" s="356"/>
      <c r="CM45" s="5"/>
      <c r="CN45" s="355" t="s">
        <v>207</v>
      </c>
      <c r="CO45" s="356"/>
      <c r="CP45" s="356"/>
      <c r="CQ45" s="356"/>
      <c r="CR45" s="356"/>
      <c r="CS45" s="356"/>
      <c r="CT45" s="5"/>
      <c r="CU45" s="355" t="s">
        <v>208</v>
      </c>
      <c r="CV45" s="356"/>
      <c r="CW45" s="356"/>
      <c r="CX45" s="356"/>
      <c r="CY45" s="356"/>
      <c r="CZ45" s="356"/>
    </row>
    <row r="46" spans="1:104" ht="18" hidden="1"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t="str">
        <f t="shared" ref="AX46:AX61" si="55">C2</f>
        <v>Runner</v>
      </c>
      <c r="AY46" s="5" t="str">
        <f>IFERROR((VLOOKUP($BO$1&amp;C2,Teams!D:S,12,0)),0)</f>
        <v>P</v>
      </c>
      <c r="AZ46" s="5" t="str">
        <f>IFERROR((VLOOKUP($BO$1&amp;C2,Teams!D:S,13,0)),0)</f>
        <v>P</v>
      </c>
      <c r="BA46" s="5" t="str">
        <f>IFERROR((VLOOKUP($BO$1&amp;C2,Teams!D:S,14,0)),0)</f>
        <v>S</v>
      </c>
      <c r="BB46" s="5" t="str">
        <f>IFERROR((VLOOKUP($BO$1&amp;C2,Teams!D:S,15,0)),0)</f>
        <v>P</v>
      </c>
      <c r="BC46" s="5">
        <f>IFERROR((VLOOKUP($BO$1&amp;C2,Teams!D:S,16,0)),0)</f>
        <v>0</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t="str">
        <f t="shared" ref="BK46:BK61" si="61">IF(Y2="",0,(VLOOKUP(Y2,$CC$64:$CD$164,2,0)))</f>
        <v>P</v>
      </c>
      <c r="BL46" s="5">
        <f t="shared" ref="BL46:BL61" si="62">IF(AA2="",0,(VLOOKUP(AA2,$CC$64:$CD$164,2,0)))</f>
        <v>0</v>
      </c>
      <c r="BM46" s="5">
        <f t="shared" ref="BM46:BM61" si="63">IF(AC2="",0,(VLOOKUP(AC2,$CC$64:$CD$164,2,0)))</f>
        <v>0</v>
      </c>
      <c r="BN46" s="5">
        <f t="shared" ref="BN46:BN61" si="64">IF(AE2="",0,(VLOOKUP(AE2,$CC$64:$CD$164,2,0)))</f>
        <v>0</v>
      </c>
      <c r="BO46" s="5"/>
      <c r="BP46" s="5"/>
      <c r="BQ46" s="14"/>
      <c r="BR46" s="14"/>
      <c r="BS46" s="5" t="str">
        <f t="shared" ref="BS46:BS61" si="65">(IF(BK46="G",AY46,IF(BK46="A",AZ46,IF(BK46="S",BA46,IF(BK46="P",BB46,IF(BK46="M",BC46,IF(BK46="X",0,IF(OR(BK46="MA",BK46="AV",BK46="ST",BK46="PA",BK46="AG"),"STAT",0))))))))</f>
        <v>P</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7"/>
      <c r="BZ46" s="207">
        <f t="shared" ref="BZ46:BZ61" si="71">IF(E43="Chosen","Chosen",(IF(E43="Elegida","Chosen",(IF(E43="Gewählt","Chosen",(IF(E43="Choisie","Chosen",(IF(E43="Random","Random",(IF(E43="Aleatoria","Random",(IF(E43="Zufällig","Random",(IF(E43="Aléatoire","Random",0)))))))))))))))</f>
        <v>0</v>
      </c>
      <c r="CA46" s="207">
        <f t="shared" ref="CA46:CA61" si="72">IF(K43="Chosen","Chosen",(IF(K43="Elegida","Chosen",(IF(K43="Gewählt","Chosen",(IF(K43="Choisie","Chosen",(IF(K43="Random","Random",(IF(K43="Aleatoria","Random",(IF(K43="Zufällig","Random",(IF(K43="Aléatoire","Random",0)))))))))))))))</f>
        <v>0</v>
      </c>
      <c r="CB46" s="207">
        <f t="shared" ref="CB46:CB61" si="73">IF(O43="Chosen","Chosen",(IF(O43="Elegida","Chosen",(IF(O43="Gewählt","Chosen",(IF(O43="Choisie","Chosen",(IF(O43="Random","Random",(IF(O43="Aleatoria","Random",(IF(O43="Zufällig","Random",(IF(O43="Aléatoire","Random",0)))))))))))))))</f>
        <v>0</v>
      </c>
      <c r="CC46" s="207">
        <f t="shared" ref="CC46:CC61" si="74">IF(S43="Chosen","Chosen",(IF(S43="Elegida","Chosen",(IF(S43="Gewählt","Chosen",(IF(S43="Choisie","Chosen",(IF(S43="Random","Random",(IF(S43="Aleatoria","Random",(IF(S43="Zufällig","Random",(IF(S43="Aléatoire","Random",0)))))))))))))))</f>
        <v>0</v>
      </c>
      <c r="CD46" s="207">
        <f t="shared" ref="CD46:CD61" si="75">IF(W43="Chosen","Chosen",(IF(W43="Elegida","Chosen",(IF(W43="Gewählt","Chosen",(IF(W43="Choisie","Chosen",(IF(W43="Random","Random",(IF(T43="Aleatoria","Random",(IF(W43="Zufällig","Random",(IF(W43="Aléatoire","Random",0)))))))))))))))</f>
        <v>0</v>
      </c>
      <c r="CE46" s="207">
        <f t="shared" ref="CE46:CE61" si="76">IF(AA43="Chosen","Chosen",(IF(AA43="Elegida","Chosen",(IF(AA43="Gewählt","Chosen",(IF(AA43="Choisie","Chosen",(IF(AA43="Random","Random",(IF(U43="Aleatoria","Random",(IF(AA43="Zufällig","Random",(IF(AA43="Aléatoire","Random",0)))))))))))))))</f>
        <v>0</v>
      </c>
      <c r="CF46" s="207"/>
      <c r="CG46" s="207" t="str">
        <f>IF(BS46="P",$C$38,(IF(BS46="S",$K$38,0)))</f>
        <v>NO</v>
      </c>
      <c r="CH46" s="207">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6</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t="str">
        <f t="shared" si="55"/>
        <v>Blitzer</v>
      </c>
      <c r="AY47" s="152" t="str">
        <f>IFERROR((VLOOKUP($BO$1&amp;C3,Teams!D:S,12,0)),0)</f>
        <v>P</v>
      </c>
      <c r="AZ47" s="152" t="str">
        <f>IFERROR((VLOOKUP($BO$1&amp;C3,Teams!D:S,13,0)),0)</f>
        <v>P</v>
      </c>
      <c r="BA47" s="152" t="str">
        <f>IFERROR((VLOOKUP($BO$1&amp;C3,Teams!D:S,14,0)),0)</f>
        <v>S</v>
      </c>
      <c r="BB47" s="152" t="str">
        <f>IFERROR((VLOOKUP($BO$1&amp;C3,Teams!D:S,15,0)),0)</f>
        <v>S</v>
      </c>
      <c r="BC47" s="152">
        <f>IFERROR((VLOOKUP($BO$1&amp;C3,Teams!D:S,16,0)),0)</f>
        <v>0</v>
      </c>
      <c r="BD47" s="5">
        <f t="shared" ref="BD47:BD61" si="82">IF($P$38="NO",0,$P$38)</f>
        <v>0</v>
      </c>
      <c r="BE47" s="5">
        <f t="shared" si="56"/>
        <v>0</v>
      </c>
      <c r="BF47" s="5">
        <f t="shared" si="57"/>
        <v>0</v>
      </c>
      <c r="BG47" s="5">
        <f t="shared" si="58"/>
        <v>0</v>
      </c>
      <c r="BH47" s="5">
        <f t="shared" si="59"/>
        <v>0</v>
      </c>
      <c r="BI47" s="5">
        <f t="shared" si="60"/>
        <v>0</v>
      </c>
      <c r="BJ47" s="14"/>
      <c r="BK47" s="5" t="str">
        <f t="shared" si="61"/>
        <v>A</v>
      </c>
      <c r="BL47" s="5">
        <f t="shared" si="62"/>
        <v>0</v>
      </c>
      <c r="BM47" s="5">
        <f t="shared" si="63"/>
        <v>0</v>
      </c>
      <c r="BN47" s="5">
        <f t="shared" si="64"/>
        <v>0</v>
      </c>
      <c r="BO47" s="152"/>
      <c r="BP47" s="152"/>
      <c r="BQ47" s="14"/>
      <c r="BR47" s="14"/>
      <c r="BS47" s="5" t="str">
        <f t="shared" si="65"/>
        <v>P</v>
      </c>
      <c r="BT47" s="5">
        <f t="shared" si="66"/>
        <v>0</v>
      </c>
      <c r="BU47" s="5">
        <f t="shared" si="67"/>
        <v>0</v>
      </c>
      <c r="BV47" s="5">
        <f t="shared" si="68"/>
        <v>0</v>
      </c>
      <c r="BW47" s="5">
        <f t="shared" si="69"/>
        <v>0</v>
      </c>
      <c r="BX47" s="5">
        <f t="shared" si="70"/>
        <v>0</v>
      </c>
      <c r="BY47" s="207"/>
      <c r="BZ47" s="207">
        <f t="shared" si="71"/>
        <v>0</v>
      </c>
      <c r="CA47" s="207">
        <f t="shared" si="72"/>
        <v>0</v>
      </c>
      <c r="CB47" s="207">
        <f t="shared" si="73"/>
        <v>0</v>
      </c>
      <c r="CC47" s="207">
        <f t="shared" si="74"/>
        <v>0</v>
      </c>
      <c r="CD47" s="207">
        <f t="shared" si="75"/>
        <v>0</v>
      </c>
      <c r="CE47" s="207">
        <f t="shared" si="76"/>
        <v>0</v>
      </c>
      <c r="CF47" s="207"/>
      <c r="CG47" s="207" t="str">
        <f t="shared" ref="CG47:CL47" si="83">IF(BS47="P",$C$38,(IF(BS47="S",$K$38,0)))</f>
        <v>NO</v>
      </c>
      <c r="CH47" s="207">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6</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t="str">
        <f t="shared" si="55"/>
        <v>Blitzer</v>
      </c>
      <c r="AY48" s="152" t="str">
        <f>IFERROR((VLOOKUP($BO$1&amp;C4,Teams!D:S,12,0)),0)</f>
        <v>P</v>
      </c>
      <c r="AZ48" s="152" t="str">
        <f>IFERROR((VLOOKUP($BO$1&amp;C4,Teams!D:S,13,0)),0)</f>
        <v>P</v>
      </c>
      <c r="BA48" s="152" t="str">
        <f>IFERROR((VLOOKUP($BO$1&amp;C4,Teams!D:S,14,0)),0)</f>
        <v>S</v>
      </c>
      <c r="BB48" s="152" t="str">
        <f>IFERROR((VLOOKUP($BO$1&amp;C4,Teams!D:S,15,0)),0)</f>
        <v>S</v>
      </c>
      <c r="BC48" s="152">
        <f>IFERROR((VLOOKUP($BO$1&amp;C4,Teams!D:S,16,0)),0)</f>
        <v>0</v>
      </c>
      <c r="BD48" s="5">
        <f t="shared" si="82"/>
        <v>0</v>
      </c>
      <c r="BE48" s="5">
        <f t="shared" si="56"/>
        <v>0</v>
      </c>
      <c r="BF48" s="5">
        <f t="shared" si="57"/>
        <v>0</v>
      </c>
      <c r="BG48" s="5">
        <f t="shared" si="58"/>
        <v>0</v>
      </c>
      <c r="BH48" s="5">
        <f t="shared" si="59"/>
        <v>0</v>
      </c>
      <c r="BI48" s="5">
        <f t="shared" si="60"/>
        <v>0</v>
      </c>
      <c r="BJ48" s="14"/>
      <c r="BK48" s="5" t="str">
        <f t="shared" si="61"/>
        <v>A</v>
      </c>
      <c r="BL48" s="5">
        <f t="shared" si="62"/>
        <v>0</v>
      </c>
      <c r="BM48" s="5">
        <f t="shared" si="63"/>
        <v>0</v>
      </c>
      <c r="BN48" s="5">
        <f t="shared" si="64"/>
        <v>0</v>
      </c>
      <c r="BO48" s="152"/>
      <c r="BP48" s="152"/>
      <c r="BQ48" s="14"/>
      <c r="BR48" s="14"/>
      <c r="BS48" s="5" t="str">
        <f t="shared" si="65"/>
        <v>P</v>
      </c>
      <c r="BT48" s="5">
        <f t="shared" si="66"/>
        <v>0</v>
      </c>
      <c r="BU48" s="5">
        <f t="shared" si="67"/>
        <v>0</v>
      </c>
      <c r="BV48" s="5">
        <f t="shared" si="68"/>
        <v>0</v>
      </c>
      <c r="BW48" s="5">
        <f t="shared" si="69"/>
        <v>0</v>
      </c>
      <c r="BX48" s="5">
        <f t="shared" si="70"/>
        <v>0</v>
      </c>
      <c r="BY48" s="207"/>
      <c r="BZ48" s="207">
        <f t="shared" si="71"/>
        <v>0</v>
      </c>
      <c r="CA48" s="207">
        <f t="shared" si="72"/>
        <v>0</v>
      </c>
      <c r="CB48" s="207">
        <f t="shared" si="73"/>
        <v>0</v>
      </c>
      <c r="CC48" s="207">
        <f t="shared" si="74"/>
        <v>0</v>
      </c>
      <c r="CD48" s="207">
        <f t="shared" si="75"/>
        <v>0</v>
      </c>
      <c r="CE48" s="207">
        <f t="shared" si="76"/>
        <v>0</v>
      </c>
      <c r="CF48" s="207"/>
      <c r="CG48" s="207" t="str">
        <f t="shared" ref="CG48:CL48" si="93">IF(BS48="P",$C$38,(IF(BS48="S",$K$38,0)))</f>
        <v>NO</v>
      </c>
      <c r="CH48" s="207">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6</v>
      </c>
      <c r="CV48" s="5">
        <f t="shared" si="80"/>
        <v>0</v>
      </c>
      <c r="CW48" s="5">
        <f t="shared" si="81"/>
        <v>0</v>
      </c>
      <c r="CX48" s="5">
        <f t="shared" si="90"/>
        <v>0</v>
      </c>
      <c r="CY48" s="152">
        <f t="shared" si="91"/>
        <v>0</v>
      </c>
      <c r="CZ48" s="5">
        <f t="shared" si="92"/>
        <v>0</v>
      </c>
    </row>
    <row r="49" spans="1:104" ht="18" hidden="1"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t="str">
        <f t="shared" si="55"/>
        <v/>
      </c>
      <c r="AY49" s="152">
        <f>IFERROR((VLOOKUP($BO$1&amp;C5,Teams!D:S,12,0)),0)</f>
        <v>0</v>
      </c>
      <c r="AZ49" s="152">
        <f>IFERROR((VLOOKUP($BO$1&amp;C5,Teams!D:S,13,0)),0)</f>
        <v>0</v>
      </c>
      <c r="BA49" s="152">
        <f>IFERROR((VLOOKUP($BO$1&amp;C5,Teams!D:S,14,0)),0)</f>
        <v>0</v>
      </c>
      <c r="BB49" s="152">
        <f>IFERROR((VLOOKUP($BO$1&amp;C5,Teams!D:S,15,0)),0)</f>
        <v>0</v>
      </c>
      <c r="BC49" s="152">
        <f>IFERROR((VLOOKUP($BO$1&amp;C5,Teams!D:S,16,0)),0)</f>
        <v>0</v>
      </c>
      <c r="BD49" s="5">
        <f t="shared" si="82"/>
        <v>0</v>
      </c>
      <c r="BE49" s="5">
        <f t="shared" si="56"/>
        <v>0</v>
      </c>
      <c r="BF49" s="5">
        <f t="shared" si="57"/>
        <v>0</v>
      </c>
      <c r="BG49" s="5">
        <f t="shared" si="58"/>
        <v>0</v>
      </c>
      <c r="BH49" s="5">
        <f t="shared" si="59"/>
        <v>0</v>
      </c>
      <c r="BI49" s="5">
        <f t="shared" si="60"/>
        <v>0</v>
      </c>
      <c r="BJ49" s="14"/>
      <c r="BK49" s="5">
        <f t="shared" si="61"/>
        <v>0</v>
      </c>
      <c r="BL49" s="5">
        <f t="shared" si="62"/>
        <v>0</v>
      </c>
      <c r="BM49" s="5">
        <f t="shared" si="63"/>
        <v>0</v>
      </c>
      <c r="BN49" s="5">
        <f t="shared" si="64"/>
        <v>0</v>
      </c>
      <c r="BO49" s="152"/>
      <c r="BP49" s="152"/>
      <c r="BQ49" s="14"/>
      <c r="BR49" s="14"/>
      <c r="BS49" s="5">
        <f t="shared" si="65"/>
        <v>0</v>
      </c>
      <c r="BT49" s="5">
        <f t="shared" si="66"/>
        <v>0</v>
      </c>
      <c r="BU49" s="5">
        <f t="shared" si="67"/>
        <v>0</v>
      </c>
      <c r="BV49" s="5">
        <f t="shared" si="68"/>
        <v>0</v>
      </c>
      <c r="BW49" s="5">
        <f t="shared" si="69"/>
        <v>0</v>
      </c>
      <c r="BX49" s="5">
        <f t="shared" si="70"/>
        <v>0</v>
      </c>
      <c r="BY49" s="207"/>
      <c r="BZ49" s="207">
        <f t="shared" si="71"/>
        <v>0</v>
      </c>
      <c r="CA49" s="207">
        <f t="shared" si="72"/>
        <v>0</v>
      </c>
      <c r="CB49" s="207">
        <f t="shared" si="73"/>
        <v>0</v>
      </c>
      <c r="CC49" s="207">
        <f t="shared" si="74"/>
        <v>0</v>
      </c>
      <c r="CD49" s="207">
        <f t="shared" si="75"/>
        <v>0</v>
      </c>
      <c r="CE49" s="207">
        <f t="shared" si="76"/>
        <v>0</v>
      </c>
      <c r="CF49" s="207"/>
      <c r="CG49" s="207">
        <f t="shared" ref="CG49:CL49" si="94">IF(BS49="P",$C$38,(IF(BS49="S",$K$38,0)))</f>
        <v>0</v>
      </c>
      <c r="CH49" s="207">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0</v>
      </c>
      <c r="CV49" s="5">
        <f t="shared" si="80"/>
        <v>0</v>
      </c>
      <c r="CW49" s="5">
        <f t="shared" si="81"/>
        <v>0</v>
      </c>
      <c r="CX49" s="5">
        <f t="shared" si="90"/>
        <v>0</v>
      </c>
      <c r="CY49" s="152">
        <f t="shared" si="91"/>
        <v>0</v>
      </c>
      <c r="CZ49" s="5">
        <f t="shared" si="92"/>
        <v>0</v>
      </c>
    </row>
    <row r="50" spans="1:104" ht="18" hidden="1"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f t="shared" si="55"/>
        <v>0</v>
      </c>
      <c r="AY50" s="152">
        <f>IFERROR((VLOOKUP($BO$1&amp;C6,Teams!D:S,12,0)),0)</f>
        <v>0</v>
      </c>
      <c r="AZ50" s="152">
        <f>IFERROR((VLOOKUP($BO$1&amp;C6,Teams!D:S,13,0)),0)</f>
        <v>0</v>
      </c>
      <c r="BA50" s="152">
        <f>IFERROR((VLOOKUP($BO$1&amp;C6,Teams!D:S,14,0)),0)</f>
        <v>0</v>
      </c>
      <c r="BB50" s="152">
        <f>IFERROR((VLOOKUP($BO$1&amp;C6,Teams!D:S,15,0)),0)</f>
        <v>0</v>
      </c>
      <c r="BC50" s="152">
        <f>IFERROR((VLOOKUP($BO$1&amp;C6,Teams!D:S,16,0)),0)</f>
        <v>0</v>
      </c>
      <c r="BD50" s="5">
        <f t="shared" si="82"/>
        <v>0</v>
      </c>
      <c r="BE50" s="5">
        <f t="shared" si="56"/>
        <v>0</v>
      </c>
      <c r="BF50" s="5">
        <f t="shared" si="57"/>
        <v>0</v>
      </c>
      <c r="BG50" s="5">
        <f t="shared" si="58"/>
        <v>0</v>
      </c>
      <c r="BH50" s="5">
        <f t="shared" si="59"/>
        <v>0</v>
      </c>
      <c r="BI50" s="5">
        <f t="shared" si="60"/>
        <v>0</v>
      </c>
      <c r="BJ50" s="14"/>
      <c r="BK50" s="5">
        <f t="shared" si="61"/>
        <v>0</v>
      </c>
      <c r="BL50" s="5">
        <f t="shared" si="62"/>
        <v>0</v>
      </c>
      <c r="BM50" s="5">
        <f t="shared" si="63"/>
        <v>0</v>
      </c>
      <c r="BN50" s="5">
        <f t="shared" si="64"/>
        <v>0</v>
      </c>
      <c r="BO50" s="152"/>
      <c r="BP50" s="152"/>
      <c r="BQ50" s="14"/>
      <c r="BR50" s="14"/>
      <c r="BS50" s="5">
        <f t="shared" si="65"/>
        <v>0</v>
      </c>
      <c r="BT50" s="5">
        <f t="shared" si="66"/>
        <v>0</v>
      </c>
      <c r="BU50" s="5">
        <f t="shared" si="67"/>
        <v>0</v>
      </c>
      <c r="BV50" s="5">
        <f t="shared" si="68"/>
        <v>0</v>
      </c>
      <c r="BW50" s="5">
        <f t="shared" si="69"/>
        <v>0</v>
      </c>
      <c r="BX50" s="5">
        <f t="shared" si="70"/>
        <v>0</v>
      </c>
      <c r="BY50" s="207"/>
      <c r="BZ50" s="207">
        <f t="shared" si="71"/>
        <v>0</v>
      </c>
      <c r="CA50" s="207">
        <f t="shared" si="72"/>
        <v>0</v>
      </c>
      <c r="CB50" s="207">
        <f t="shared" si="73"/>
        <v>0</v>
      </c>
      <c r="CC50" s="207">
        <f t="shared" si="74"/>
        <v>0</v>
      </c>
      <c r="CD50" s="207">
        <f t="shared" si="75"/>
        <v>0</v>
      </c>
      <c r="CE50" s="207">
        <f t="shared" si="76"/>
        <v>0</v>
      </c>
      <c r="CF50" s="207"/>
      <c r="CG50" s="207">
        <f t="shared" ref="CG50:CL50" si="95">IF(BS50="P",$C$38,(IF(BS50="S",$K$38,0)))</f>
        <v>0</v>
      </c>
      <c r="CH50" s="207">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0</v>
      </c>
      <c r="CV50" s="5">
        <f t="shared" si="80"/>
        <v>0</v>
      </c>
      <c r="CW50" s="5">
        <f t="shared" si="81"/>
        <v>0</v>
      </c>
      <c r="CX50" s="5">
        <f t="shared" si="90"/>
        <v>0</v>
      </c>
      <c r="CY50" s="152">
        <f t="shared" si="91"/>
        <v>0</v>
      </c>
      <c r="CZ50" s="5">
        <f t="shared" si="92"/>
        <v>0</v>
      </c>
    </row>
    <row r="51" spans="1:104" ht="18" hidden="1"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f t="shared" si="55"/>
        <v>0</v>
      </c>
      <c r="AY51" s="152">
        <f>IFERROR((VLOOKUP($BO$1&amp;C7,Teams!D:S,12,0)),0)</f>
        <v>0</v>
      </c>
      <c r="AZ51" s="152">
        <f>IFERROR((VLOOKUP($BO$1&amp;C7,Teams!D:S,13,0)),0)</f>
        <v>0</v>
      </c>
      <c r="BA51" s="152">
        <f>IFERROR((VLOOKUP($BO$1&amp;C7,Teams!D:S,14,0)),0)</f>
        <v>0</v>
      </c>
      <c r="BB51" s="152">
        <f>IFERROR((VLOOKUP($BO$1&amp;C7,Teams!D:S,15,0)),0)</f>
        <v>0</v>
      </c>
      <c r="BC51" s="152">
        <f>IFERROR((VLOOKUP($BO$1&amp;C7,Teams!D:S,16,0)),0)</f>
        <v>0</v>
      </c>
      <c r="BD51" s="5">
        <f t="shared" si="82"/>
        <v>0</v>
      </c>
      <c r="BE51" s="5">
        <f t="shared" si="56"/>
        <v>0</v>
      </c>
      <c r="BF51" s="5">
        <f t="shared" si="57"/>
        <v>0</v>
      </c>
      <c r="BG51" s="5">
        <f t="shared" si="58"/>
        <v>0</v>
      </c>
      <c r="BH51" s="5">
        <f t="shared" si="59"/>
        <v>0</v>
      </c>
      <c r="BI51" s="5">
        <f>SUM(CG51:CS51)</f>
        <v>0</v>
      </c>
      <c r="BJ51" s="5"/>
      <c r="BK51" s="5">
        <f t="shared" si="61"/>
        <v>0</v>
      </c>
      <c r="BL51" s="5">
        <f t="shared" si="62"/>
        <v>0</v>
      </c>
      <c r="BM51" s="5">
        <f t="shared" si="63"/>
        <v>0</v>
      </c>
      <c r="BN51" s="5">
        <f t="shared" si="64"/>
        <v>0</v>
      </c>
      <c r="BO51" s="152"/>
      <c r="BP51" s="152"/>
      <c r="BQ51" s="14"/>
      <c r="BR51" s="14"/>
      <c r="BS51" s="5">
        <f t="shared" si="65"/>
        <v>0</v>
      </c>
      <c r="BT51" s="5">
        <f>(IF(BL51="G",AY51,IF(BL51="A",AZ51,IF(BL51="S",BA51,IF(BL51="P",BB51,IF(BL51="M",BC51,IF(BL51="X",0,IF(OR(BL51="MA",BL51="AV",BL51="ST",BL51="PA",BL51="AG"),"STAT",0))))))))</f>
        <v>0</v>
      </c>
      <c r="BU51" s="5">
        <f t="shared" si="67"/>
        <v>0</v>
      </c>
      <c r="BV51" s="5">
        <f t="shared" si="68"/>
        <v>0</v>
      </c>
      <c r="BW51" s="5">
        <f t="shared" si="69"/>
        <v>0</v>
      </c>
      <c r="BX51" s="5">
        <f t="shared" si="70"/>
        <v>0</v>
      </c>
      <c r="BY51" s="207"/>
      <c r="BZ51" s="207">
        <f t="shared" si="71"/>
        <v>0</v>
      </c>
      <c r="CA51" s="207">
        <f t="shared" si="72"/>
        <v>0</v>
      </c>
      <c r="CB51" s="207">
        <f t="shared" si="73"/>
        <v>0</v>
      </c>
      <c r="CC51" s="207">
        <f t="shared" si="74"/>
        <v>0</v>
      </c>
      <c r="CD51" s="207">
        <f t="shared" si="75"/>
        <v>0</v>
      </c>
      <c r="CE51" s="207">
        <f t="shared" si="76"/>
        <v>0</v>
      </c>
      <c r="CF51" s="207"/>
      <c r="CG51" s="207">
        <f t="shared" ref="CG51:CL51" si="96">IF(BS51="P",$C$38,(IF(BS51="S",$K$38,0)))</f>
        <v>0</v>
      </c>
      <c r="CH51" s="207">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0</v>
      </c>
      <c r="CV51" s="5">
        <f>IF(BT51="P",8,IF(BT51="S",14,IF(BT51="STAT",20,0)))</f>
        <v>0</v>
      </c>
      <c r="CW51" s="5">
        <f t="shared" si="81"/>
        <v>0</v>
      </c>
      <c r="CX51" s="5">
        <f t="shared" si="90"/>
        <v>0</v>
      </c>
      <c r="CY51" s="152">
        <f t="shared" si="91"/>
        <v>0</v>
      </c>
      <c r="CZ51" s="5">
        <f t="shared" si="92"/>
        <v>0</v>
      </c>
    </row>
    <row r="52" spans="1:104" ht="18" hidden="1"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f t="shared" si="55"/>
        <v>0</v>
      </c>
      <c r="AY52" s="152">
        <f>IFERROR((VLOOKUP($BO$1&amp;C8,Teams!D:S,12,0)),0)</f>
        <v>0</v>
      </c>
      <c r="AZ52" s="152">
        <f>IFERROR((VLOOKUP($BO$1&amp;C8,Teams!D:S,13,0)),0)</f>
        <v>0</v>
      </c>
      <c r="BA52" s="152">
        <f>IFERROR((VLOOKUP($BO$1&amp;C8,Teams!D:S,14,0)),0)</f>
        <v>0</v>
      </c>
      <c r="BB52" s="152">
        <f>IFERROR((VLOOKUP($BO$1&amp;C8,Teams!D:S,15,0)),0)</f>
        <v>0</v>
      </c>
      <c r="BC52" s="152">
        <f>IFERROR((VLOOKUP($BO$1&amp;C8,Teams!D:S,16,0)),0)</f>
        <v>0</v>
      </c>
      <c r="BD52" s="5">
        <f t="shared" si="82"/>
        <v>0</v>
      </c>
      <c r="BE52" s="5">
        <f t="shared" si="56"/>
        <v>0</v>
      </c>
      <c r="BF52" s="5">
        <f t="shared" si="57"/>
        <v>0</v>
      </c>
      <c r="BG52" s="5">
        <f t="shared" si="58"/>
        <v>0</v>
      </c>
      <c r="BH52" s="5">
        <f t="shared" si="59"/>
        <v>0</v>
      </c>
      <c r="BI52" s="5">
        <f t="shared" si="60"/>
        <v>0</v>
      </c>
      <c r="BJ52" s="5"/>
      <c r="BK52" s="5">
        <f t="shared" si="61"/>
        <v>0</v>
      </c>
      <c r="BL52" s="5">
        <f t="shared" si="62"/>
        <v>0</v>
      </c>
      <c r="BM52" s="5">
        <f t="shared" si="63"/>
        <v>0</v>
      </c>
      <c r="BN52" s="5">
        <f t="shared" si="64"/>
        <v>0</v>
      </c>
      <c r="BO52" s="152"/>
      <c r="BP52" s="152"/>
      <c r="BQ52" s="14"/>
      <c r="BR52" s="14"/>
      <c r="BS52" s="5">
        <f t="shared" si="65"/>
        <v>0</v>
      </c>
      <c r="BT52" s="5">
        <f t="shared" si="66"/>
        <v>0</v>
      </c>
      <c r="BU52" s="5">
        <f t="shared" si="67"/>
        <v>0</v>
      </c>
      <c r="BV52" s="5">
        <f t="shared" si="68"/>
        <v>0</v>
      </c>
      <c r="BW52" s="5">
        <f t="shared" si="69"/>
        <v>0</v>
      </c>
      <c r="BX52" s="5">
        <f t="shared" si="70"/>
        <v>0</v>
      </c>
      <c r="BY52" s="207"/>
      <c r="BZ52" s="207">
        <f t="shared" si="71"/>
        <v>0</v>
      </c>
      <c r="CA52" s="207">
        <f t="shared" si="72"/>
        <v>0</v>
      </c>
      <c r="CB52" s="207">
        <f t="shared" si="73"/>
        <v>0</v>
      </c>
      <c r="CC52" s="207">
        <f t="shared" si="74"/>
        <v>0</v>
      </c>
      <c r="CD52" s="207">
        <f t="shared" si="75"/>
        <v>0</v>
      </c>
      <c r="CE52" s="207">
        <f t="shared" si="76"/>
        <v>0</v>
      </c>
      <c r="CF52" s="207"/>
      <c r="CG52" s="207">
        <f t="shared" ref="CG52:CL52" si="97">IF(BS52="P",$C$38,(IF(BS52="S",$K$38,0)))</f>
        <v>0</v>
      </c>
      <c r="CH52" s="207">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0</v>
      </c>
      <c r="CV52" s="5">
        <f t="shared" si="80"/>
        <v>0</v>
      </c>
      <c r="CW52" s="5">
        <f t="shared" si="81"/>
        <v>0</v>
      </c>
      <c r="CX52" s="5">
        <f t="shared" si="90"/>
        <v>0</v>
      </c>
      <c r="CY52" s="152">
        <f t="shared" si="91"/>
        <v>0</v>
      </c>
      <c r="CZ52" s="5">
        <f t="shared" si="92"/>
        <v>0</v>
      </c>
    </row>
    <row r="53" spans="1:104" ht="18" hidden="1"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t="str">
        <f t="shared" si="55"/>
        <v>Lineman</v>
      </c>
      <c r="AY53" s="152" t="str">
        <f>IFERROR((VLOOKUP($BO$1&amp;C9,Teams!D:S,12,0)),0)</f>
        <v>P</v>
      </c>
      <c r="AZ53" s="152" t="str">
        <f>IFERROR((VLOOKUP($BO$1&amp;C9,Teams!D:S,13,0)),0)</f>
        <v>P</v>
      </c>
      <c r="BA53" s="152" t="str">
        <f>IFERROR((VLOOKUP($BO$1&amp;C9,Teams!D:S,14,0)),0)</f>
        <v>S</v>
      </c>
      <c r="BB53" s="152">
        <f>IFERROR((VLOOKUP($BO$1&amp;C9,Teams!D:S,15,0)),0)</f>
        <v>0</v>
      </c>
      <c r="BC53" s="152">
        <f>IFERROR((VLOOKUP($BO$1&amp;C9,Teams!D:S,16,0)),0)</f>
        <v>0</v>
      </c>
      <c r="BD53" s="5">
        <f t="shared" si="82"/>
        <v>0</v>
      </c>
      <c r="BE53" s="5">
        <f t="shared" si="56"/>
        <v>0</v>
      </c>
      <c r="BF53" s="5">
        <f t="shared" si="57"/>
        <v>0</v>
      </c>
      <c r="BG53" s="5">
        <f t="shared" si="58"/>
        <v>0</v>
      </c>
      <c r="BH53" s="5">
        <f t="shared" si="59"/>
        <v>0</v>
      </c>
      <c r="BI53" s="5">
        <f t="shared" si="60"/>
        <v>0</v>
      </c>
      <c r="BJ53" s="5"/>
      <c r="BK53" s="5" t="str">
        <f t="shared" si="61"/>
        <v>A</v>
      </c>
      <c r="BL53" s="5">
        <f t="shared" si="62"/>
        <v>0</v>
      </c>
      <c r="BM53" s="5">
        <f t="shared" si="63"/>
        <v>0</v>
      </c>
      <c r="BN53" s="5">
        <f t="shared" si="64"/>
        <v>0</v>
      </c>
      <c r="BO53" s="152"/>
      <c r="BP53" s="152"/>
      <c r="BQ53" s="14"/>
      <c r="BR53" s="14"/>
      <c r="BS53" s="5" t="str">
        <f t="shared" si="65"/>
        <v>P</v>
      </c>
      <c r="BT53" s="5">
        <f t="shared" si="66"/>
        <v>0</v>
      </c>
      <c r="BU53" s="5">
        <f t="shared" si="67"/>
        <v>0</v>
      </c>
      <c r="BV53" s="5">
        <f t="shared" si="68"/>
        <v>0</v>
      </c>
      <c r="BW53" s="5">
        <f t="shared" si="69"/>
        <v>0</v>
      </c>
      <c r="BX53" s="5">
        <f t="shared" si="70"/>
        <v>0</v>
      </c>
      <c r="BY53" s="207"/>
      <c r="BZ53" s="207">
        <f t="shared" si="71"/>
        <v>0</v>
      </c>
      <c r="CA53" s="207">
        <f t="shared" si="72"/>
        <v>0</v>
      </c>
      <c r="CB53" s="207">
        <f t="shared" si="73"/>
        <v>0</v>
      </c>
      <c r="CC53" s="207">
        <f t="shared" si="74"/>
        <v>0</v>
      </c>
      <c r="CD53" s="207">
        <f t="shared" si="75"/>
        <v>0</v>
      </c>
      <c r="CE53" s="207">
        <f t="shared" si="76"/>
        <v>0</v>
      </c>
      <c r="CF53" s="207"/>
      <c r="CG53" s="207" t="str">
        <f t="shared" ref="CG53:CL53" si="98">IF(BS53="P",$C$38,(IF(BS53="S",$K$38,0)))</f>
        <v>NO</v>
      </c>
      <c r="CH53" s="207">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6</v>
      </c>
      <c r="CV53" s="5">
        <f t="shared" si="80"/>
        <v>0</v>
      </c>
      <c r="CW53" s="5">
        <f t="shared" si="81"/>
        <v>0</v>
      </c>
      <c r="CX53" s="5">
        <f t="shared" si="90"/>
        <v>0</v>
      </c>
      <c r="CY53" s="152">
        <f t="shared" si="91"/>
        <v>0</v>
      </c>
      <c r="CZ53" s="5">
        <f t="shared" si="92"/>
        <v>0</v>
      </c>
    </row>
    <row r="54" spans="1:104" ht="18" hidden="1"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t="str">
        <f t="shared" si="55"/>
        <v>Lineman</v>
      </c>
      <c r="AY54" s="152" t="str">
        <f>IFERROR((VLOOKUP($BO$1&amp;C10,Teams!D:S,12,0)),0)</f>
        <v>P</v>
      </c>
      <c r="AZ54" s="152" t="str">
        <f>IFERROR((VLOOKUP($BO$1&amp;C10,Teams!D:S,13,0)),0)</f>
        <v>P</v>
      </c>
      <c r="BA54" s="152" t="str">
        <f>IFERROR((VLOOKUP($BO$1&amp;C10,Teams!D:S,14,0)),0)</f>
        <v>S</v>
      </c>
      <c r="BB54" s="152">
        <f>IFERROR((VLOOKUP($BO$1&amp;C10,Teams!D:S,15,0)),0)</f>
        <v>0</v>
      </c>
      <c r="BC54" s="152">
        <f>IFERROR((VLOOKUP($BO$1&amp;C10,Teams!D:S,16,0)),0)</f>
        <v>0</v>
      </c>
      <c r="BD54" s="5">
        <f t="shared" si="82"/>
        <v>0</v>
      </c>
      <c r="BE54" s="5">
        <f t="shared" si="56"/>
        <v>0</v>
      </c>
      <c r="BF54" s="5">
        <f t="shared" si="57"/>
        <v>0</v>
      </c>
      <c r="BG54" s="5">
        <f t="shared" si="58"/>
        <v>0</v>
      </c>
      <c r="BH54" s="5">
        <f t="shared" si="59"/>
        <v>0</v>
      </c>
      <c r="BI54" s="5">
        <f t="shared" si="60"/>
        <v>0</v>
      </c>
      <c r="BJ54" s="5"/>
      <c r="BK54" s="5" t="str">
        <f t="shared" si="61"/>
        <v>A</v>
      </c>
      <c r="BL54" s="5">
        <f t="shared" si="62"/>
        <v>0</v>
      </c>
      <c r="BM54" s="5">
        <f t="shared" si="63"/>
        <v>0</v>
      </c>
      <c r="BN54" s="5">
        <f t="shared" si="64"/>
        <v>0</v>
      </c>
      <c r="BO54" s="152"/>
      <c r="BP54" s="152"/>
      <c r="BQ54" s="14"/>
      <c r="BR54" s="14"/>
      <c r="BS54" s="5" t="str">
        <f t="shared" si="65"/>
        <v>P</v>
      </c>
      <c r="BT54" s="5">
        <f t="shared" si="66"/>
        <v>0</v>
      </c>
      <c r="BU54" s="5">
        <f t="shared" si="67"/>
        <v>0</v>
      </c>
      <c r="BV54" s="5">
        <f t="shared" si="68"/>
        <v>0</v>
      </c>
      <c r="BW54" s="5">
        <f t="shared" si="69"/>
        <v>0</v>
      </c>
      <c r="BX54" s="5">
        <f t="shared" si="70"/>
        <v>0</v>
      </c>
      <c r="BY54" s="207"/>
      <c r="BZ54" s="207">
        <f t="shared" si="71"/>
        <v>0</v>
      </c>
      <c r="CA54" s="207">
        <f t="shared" si="72"/>
        <v>0</v>
      </c>
      <c r="CB54" s="207">
        <f t="shared" si="73"/>
        <v>0</v>
      </c>
      <c r="CC54" s="207">
        <f t="shared" si="74"/>
        <v>0</v>
      </c>
      <c r="CD54" s="207">
        <f t="shared" si="75"/>
        <v>0</v>
      </c>
      <c r="CE54" s="207">
        <f t="shared" si="76"/>
        <v>0</v>
      </c>
      <c r="CF54" s="207"/>
      <c r="CG54" s="207" t="str">
        <f t="shared" ref="CG54:CL54" si="99">IF(BS54="P",$C$38,(IF(BS54="S",$K$38,0)))</f>
        <v>NO</v>
      </c>
      <c r="CH54" s="207">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6</v>
      </c>
      <c r="CV54" s="5">
        <f t="shared" si="80"/>
        <v>0</v>
      </c>
      <c r="CW54" s="5">
        <f t="shared" si="81"/>
        <v>0</v>
      </c>
      <c r="CX54" s="5">
        <f t="shared" si="90"/>
        <v>0</v>
      </c>
      <c r="CY54" s="152">
        <f t="shared" si="91"/>
        <v>0</v>
      </c>
      <c r="CZ54" s="5">
        <f t="shared" si="92"/>
        <v>0</v>
      </c>
    </row>
    <row r="55" spans="1:104" ht="18" hidden="1"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t="str">
        <f t="shared" si="55"/>
        <v>Lineman</v>
      </c>
      <c r="AY55" s="152" t="str">
        <f>IFERROR((VLOOKUP($BO$1&amp;C11,Teams!D:S,12,0)),0)</f>
        <v>P</v>
      </c>
      <c r="AZ55" s="152" t="str">
        <f>IFERROR((VLOOKUP($BO$1&amp;C11,Teams!D:S,13,0)),0)</f>
        <v>P</v>
      </c>
      <c r="BA55" s="152" t="str">
        <f>IFERROR((VLOOKUP($BO$1&amp;C11,Teams!D:S,14,0)),0)</f>
        <v>S</v>
      </c>
      <c r="BB55" s="152">
        <f>IFERROR((VLOOKUP($BO$1&amp;C11,Teams!D:S,15,0)),0)</f>
        <v>0</v>
      </c>
      <c r="BC55" s="152">
        <f>IFERROR((VLOOKUP($BO$1&amp;C11,Teams!D:S,16,0)),0)</f>
        <v>0</v>
      </c>
      <c r="BD55" s="5">
        <f t="shared" si="82"/>
        <v>0</v>
      </c>
      <c r="BE55" s="5">
        <f t="shared" si="56"/>
        <v>0</v>
      </c>
      <c r="BF55" s="5">
        <f t="shared" si="57"/>
        <v>0</v>
      </c>
      <c r="BG55" s="5">
        <f t="shared" si="58"/>
        <v>0</v>
      </c>
      <c r="BH55" s="5">
        <f t="shared" si="59"/>
        <v>0</v>
      </c>
      <c r="BI55" s="5">
        <f t="shared" si="60"/>
        <v>0</v>
      </c>
      <c r="BJ55" s="5"/>
      <c r="BK55" s="5" t="str">
        <f t="shared" si="61"/>
        <v>A</v>
      </c>
      <c r="BL55" s="5">
        <f t="shared" si="62"/>
        <v>0</v>
      </c>
      <c r="BM55" s="5">
        <f t="shared" si="63"/>
        <v>0</v>
      </c>
      <c r="BN55" s="5">
        <f t="shared" si="64"/>
        <v>0</v>
      </c>
      <c r="BO55" s="152"/>
      <c r="BP55" s="152"/>
      <c r="BQ55" s="14"/>
      <c r="BR55" s="14"/>
      <c r="BS55" s="5" t="str">
        <f t="shared" si="65"/>
        <v>P</v>
      </c>
      <c r="BT55" s="5">
        <f t="shared" si="66"/>
        <v>0</v>
      </c>
      <c r="BU55" s="5">
        <f t="shared" si="67"/>
        <v>0</v>
      </c>
      <c r="BV55" s="5">
        <f t="shared" si="68"/>
        <v>0</v>
      </c>
      <c r="BW55" s="5">
        <f t="shared" si="69"/>
        <v>0</v>
      </c>
      <c r="BX55" s="5">
        <f t="shared" si="70"/>
        <v>0</v>
      </c>
      <c r="BY55" s="207"/>
      <c r="BZ55" s="207">
        <f t="shared" si="71"/>
        <v>0</v>
      </c>
      <c r="CA55" s="207">
        <f t="shared" si="72"/>
        <v>0</v>
      </c>
      <c r="CB55" s="207">
        <f t="shared" si="73"/>
        <v>0</v>
      </c>
      <c r="CC55" s="207">
        <f t="shared" si="74"/>
        <v>0</v>
      </c>
      <c r="CD55" s="207">
        <f t="shared" si="75"/>
        <v>0</v>
      </c>
      <c r="CE55" s="207">
        <f t="shared" si="76"/>
        <v>0</v>
      </c>
      <c r="CF55" s="207"/>
      <c r="CG55" s="207" t="str">
        <f t="shared" ref="CG55:CL55" si="100">IF(BS55="P",$C$38,(IF(BS55="S",$K$38,0)))</f>
        <v>NO</v>
      </c>
      <c r="CH55" s="207">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6</v>
      </c>
      <c r="CV55" s="5">
        <f t="shared" si="80"/>
        <v>0</v>
      </c>
      <c r="CW55" s="5">
        <f t="shared" si="81"/>
        <v>0</v>
      </c>
      <c r="CX55" s="5">
        <f t="shared" si="90"/>
        <v>0</v>
      </c>
      <c r="CY55" s="152">
        <f t="shared" si="91"/>
        <v>0</v>
      </c>
      <c r="CZ55" s="5">
        <f t="shared" si="92"/>
        <v>0</v>
      </c>
    </row>
    <row r="56" spans="1:104" ht="18" hidden="1"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t="str">
        <f t="shared" si="55"/>
        <v>Lineman</v>
      </c>
      <c r="AY56" s="152" t="str">
        <f>IFERROR((VLOOKUP($BO$1&amp;C12,Teams!D:S,12,0)),0)</f>
        <v>P</v>
      </c>
      <c r="AZ56" s="152" t="str">
        <f>IFERROR((VLOOKUP($BO$1&amp;C12,Teams!D:S,13,0)),0)</f>
        <v>P</v>
      </c>
      <c r="BA56" s="152" t="str">
        <f>IFERROR((VLOOKUP($BO$1&amp;C12,Teams!D:S,14,0)),0)</f>
        <v>S</v>
      </c>
      <c r="BB56" s="152">
        <f>IFERROR((VLOOKUP($BO$1&amp;C12,Teams!D:S,15,0)),0)</f>
        <v>0</v>
      </c>
      <c r="BC56" s="152">
        <f>IFERROR((VLOOKUP($BO$1&amp;C12,Teams!D:S,16,0)),0)</f>
        <v>0</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7"/>
      <c r="BZ56" s="207">
        <f t="shared" si="71"/>
        <v>0</v>
      </c>
      <c r="CA56" s="207">
        <f t="shared" si="72"/>
        <v>0</v>
      </c>
      <c r="CB56" s="207">
        <f t="shared" si="73"/>
        <v>0</v>
      </c>
      <c r="CC56" s="207">
        <f t="shared" si="74"/>
        <v>0</v>
      </c>
      <c r="CD56" s="207">
        <f t="shared" si="75"/>
        <v>0</v>
      </c>
      <c r="CE56" s="207">
        <f t="shared" si="76"/>
        <v>0</v>
      </c>
      <c r="CF56" s="207"/>
      <c r="CG56" s="207">
        <f t="shared" ref="CG56:CL56" si="101">IF(BS56="P",$C$38,(IF(BS56="S",$K$38,0)))</f>
        <v>0</v>
      </c>
      <c r="CH56" s="207">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t="str">
        <f t="shared" si="55"/>
        <v>Lineman</v>
      </c>
      <c r="AY57" s="152" t="str">
        <f>IFERROR((VLOOKUP($BO$1&amp;C13,Teams!D:S,12,0)),0)</f>
        <v>P</v>
      </c>
      <c r="AZ57" s="152" t="str">
        <f>IFERROR((VLOOKUP($BO$1&amp;C13,Teams!D:S,13,0)),0)</f>
        <v>P</v>
      </c>
      <c r="BA57" s="152" t="str">
        <f>IFERROR((VLOOKUP($BO$1&amp;C13,Teams!D:S,14,0)),0)</f>
        <v>S</v>
      </c>
      <c r="BB57" s="152">
        <f>IFERROR((VLOOKUP($BO$1&amp;C13,Teams!D:S,15,0)),0)</f>
        <v>0</v>
      </c>
      <c r="BC57" s="152">
        <f>IFERROR((VLOOKUP($BO$1&amp;C13,Teams!D:S,16,0)),0)</f>
        <v>0</v>
      </c>
      <c r="BD57" s="5">
        <f t="shared" si="82"/>
        <v>0</v>
      </c>
      <c r="BE57" s="5">
        <f t="shared" si="56"/>
        <v>0</v>
      </c>
      <c r="BF57" s="5">
        <f t="shared" si="57"/>
        <v>0</v>
      </c>
      <c r="BG57" s="5">
        <f t="shared" si="58"/>
        <v>0</v>
      </c>
      <c r="BH57" s="5">
        <f t="shared" si="59"/>
        <v>0</v>
      </c>
      <c r="BI57" s="5">
        <f t="shared" si="60"/>
        <v>0</v>
      </c>
      <c r="BJ57" s="5"/>
      <c r="BK57" s="5">
        <f t="shared" si="61"/>
        <v>0</v>
      </c>
      <c r="BL57" s="5">
        <f t="shared" si="62"/>
        <v>0</v>
      </c>
      <c r="BM57" s="5">
        <f t="shared" si="63"/>
        <v>0</v>
      </c>
      <c r="BN57" s="5">
        <f t="shared" si="64"/>
        <v>0</v>
      </c>
      <c r="BO57" s="152"/>
      <c r="BP57" s="152"/>
      <c r="BQ57" s="14"/>
      <c r="BR57" s="14"/>
      <c r="BS57" s="5">
        <f t="shared" si="65"/>
        <v>0</v>
      </c>
      <c r="BT57" s="5">
        <f t="shared" si="66"/>
        <v>0</v>
      </c>
      <c r="BU57" s="5">
        <f t="shared" si="67"/>
        <v>0</v>
      </c>
      <c r="BV57" s="5">
        <f t="shared" si="68"/>
        <v>0</v>
      </c>
      <c r="BW57" s="5">
        <f t="shared" si="69"/>
        <v>0</v>
      </c>
      <c r="BX57" s="5">
        <f t="shared" si="70"/>
        <v>0</v>
      </c>
      <c r="BY57" s="207"/>
      <c r="BZ57" s="207">
        <f t="shared" si="71"/>
        <v>0</v>
      </c>
      <c r="CA57" s="207">
        <f t="shared" si="72"/>
        <v>0</v>
      </c>
      <c r="CB57" s="207">
        <f t="shared" si="73"/>
        <v>0</v>
      </c>
      <c r="CC57" s="207">
        <f t="shared" si="74"/>
        <v>0</v>
      </c>
      <c r="CD57" s="207">
        <f t="shared" si="75"/>
        <v>0</v>
      </c>
      <c r="CE57" s="207">
        <f t="shared" si="76"/>
        <v>0</v>
      </c>
      <c r="CF57" s="207"/>
      <c r="CG57" s="207">
        <f t="shared" ref="CG57:CL57" si="102">IF(BS57="P",$C$38,(IF(BS57="S",$K$38,0)))</f>
        <v>0</v>
      </c>
      <c r="CH57" s="207">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0</v>
      </c>
      <c r="CV57" s="5">
        <f t="shared" si="80"/>
        <v>0</v>
      </c>
      <c r="CW57" s="5">
        <f t="shared" si="81"/>
        <v>0</v>
      </c>
      <c r="CX57" s="5">
        <f t="shared" si="90"/>
        <v>0</v>
      </c>
      <c r="CY57" s="152">
        <f t="shared" si="91"/>
        <v>0</v>
      </c>
      <c r="CZ57" s="5">
        <f t="shared" si="92"/>
        <v>0</v>
      </c>
    </row>
    <row r="58" spans="1:104" ht="18" hidden="1"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t="str">
        <f t="shared" si="55"/>
        <v>Lineman</v>
      </c>
      <c r="AY58" s="152" t="str">
        <f>IFERROR((VLOOKUP($BO$1&amp;C14,Teams!D:S,12,0)),0)</f>
        <v>P</v>
      </c>
      <c r="AZ58" s="152" t="str">
        <f>IFERROR((VLOOKUP($BO$1&amp;C14,Teams!D:S,13,0)),0)</f>
        <v>P</v>
      </c>
      <c r="BA58" s="152" t="str">
        <f>IFERROR((VLOOKUP($BO$1&amp;C14,Teams!D:S,14,0)),0)</f>
        <v>S</v>
      </c>
      <c r="BB58" s="152">
        <f>IFERROR((VLOOKUP($BO$1&amp;C14,Teams!D:S,15,0)),0)</f>
        <v>0</v>
      </c>
      <c r="BC58" s="152">
        <f>IFERROR((VLOOKUP($BO$1&amp;C14,Teams!D:S,16,0)),0)</f>
        <v>0</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7"/>
      <c r="BZ58" s="207">
        <f t="shared" si="71"/>
        <v>0</v>
      </c>
      <c r="CA58" s="207">
        <f t="shared" si="72"/>
        <v>0</v>
      </c>
      <c r="CB58" s="207">
        <f t="shared" si="73"/>
        <v>0</v>
      </c>
      <c r="CC58" s="207">
        <f t="shared" si="74"/>
        <v>0</v>
      </c>
      <c r="CD58" s="207">
        <f t="shared" si="75"/>
        <v>0</v>
      </c>
      <c r="CE58" s="207">
        <f t="shared" si="76"/>
        <v>0</v>
      </c>
      <c r="CF58" s="207"/>
      <c r="CG58" s="207">
        <f t="shared" ref="CG58:CL58" si="103">IF(BS58="P",$C$38,(IF(BS58="S",$K$38,0)))</f>
        <v>0</v>
      </c>
      <c r="CH58" s="207">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t="str">
        <f t="shared" si="55"/>
        <v>Lineman</v>
      </c>
      <c r="AY59" s="152" t="str">
        <f>IFERROR((VLOOKUP($BO$1&amp;C15,Teams!D:S,12,0)),0)</f>
        <v>P</v>
      </c>
      <c r="AZ59" s="152" t="str">
        <f>IFERROR((VLOOKUP($BO$1&amp;C15,Teams!D:S,13,0)),0)</f>
        <v>P</v>
      </c>
      <c r="BA59" s="152" t="str">
        <f>IFERROR((VLOOKUP($BO$1&amp;C15,Teams!D:S,14,0)),0)</f>
        <v>S</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7"/>
      <c r="BZ59" s="207">
        <f t="shared" si="71"/>
        <v>0</v>
      </c>
      <c r="CA59" s="207">
        <f t="shared" si="72"/>
        <v>0</v>
      </c>
      <c r="CB59" s="207">
        <f t="shared" si="73"/>
        <v>0</v>
      </c>
      <c r="CC59" s="207">
        <f t="shared" si="74"/>
        <v>0</v>
      </c>
      <c r="CD59" s="207">
        <f t="shared" si="75"/>
        <v>0</v>
      </c>
      <c r="CE59" s="207">
        <f t="shared" si="76"/>
        <v>0</v>
      </c>
      <c r="CF59" s="207"/>
      <c r="CG59" s="207">
        <f t="shared" ref="CG59:CL59" si="104">IF(BS59="P",$C$38,(IF(BS59="S",$K$38,0)))</f>
        <v>0</v>
      </c>
      <c r="CH59" s="207">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t="str">
        <f t="shared" si="55"/>
        <v>Lineman</v>
      </c>
      <c r="AY60" s="152" t="str">
        <f>IFERROR((VLOOKUP($BO$1&amp;C16,Teams!D:S,12,0)),0)</f>
        <v>P</v>
      </c>
      <c r="AZ60" s="152" t="str">
        <f>IFERROR((VLOOKUP($BO$1&amp;C16,Teams!D:S,13,0)),0)</f>
        <v>P</v>
      </c>
      <c r="BA60" s="152" t="str">
        <f>IFERROR((VLOOKUP($BO$1&amp;C16,Teams!D:S,14,0)),0)</f>
        <v>S</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7"/>
      <c r="BZ60" s="207">
        <f t="shared" si="71"/>
        <v>0</v>
      </c>
      <c r="CA60" s="207">
        <f t="shared" si="72"/>
        <v>0</v>
      </c>
      <c r="CB60" s="207">
        <f t="shared" si="73"/>
        <v>0</v>
      </c>
      <c r="CC60" s="207">
        <f t="shared" si="74"/>
        <v>0</v>
      </c>
      <c r="CD60" s="207">
        <f t="shared" si="75"/>
        <v>0</v>
      </c>
      <c r="CE60" s="207">
        <f t="shared" si="76"/>
        <v>0</v>
      </c>
      <c r="CF60" s="207"/>
      <c r="CG60" s="207">
        <f t="shared" ref="CG60:CL60" si="105">IF(BS60="P",$C$38,(IF(BS60="S",$K$38,0)))</f>
        <v>0</v>
      </c>
      <c r="CH60" s="207">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f t="shared" si="55"/>
        <v>0</v>
      </c>
      <c r="AY61" s="152">
        <f>IFERROR((VLOOKUP($BO$1&amp;C17,Teams!D:S,12,0)),0)</f>
        <v>0</v>
      </c>
      <c r="AZ61" s="152">
        <f>IFERROR((VLOOKUP($BO$1&amp;C17,Teams!D:S,13,0)),0)</f>
        <v>0</v>
      </c>
      <c r="BA61" s="152">
        <f>IFERROR((VLOOKUP($BO$1&amp;C17,Teams!D:S,14,0)),0)</f>
        <v>0</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7"/>
      <c r="BZ61" s="207">
        <f t="shared" si="71"/>
        <v>0</v>
      </c>
      <c r="CA61" s="207">
        <f t="shared" si="72"/>
        <v>0</v>
      </c>
      <c r="CB61" s="207">
        <f t="shared" si="73"/>
        <v>0</v>
      </c>
      <c r="CC61" s="207">
        <f t="shared" si="74"/>
        <v>0</v>
      </c>
      <c r="CD61" s="207">
        <f t="shared" si="75"/>
        <v>0</v>
      </c>
      <c r="CE61" s="207">
        <f t="shared" si="76"/>
        <v>0</v>
      </c>
      <c r="CF61" s="207"/>
      <c r="CG61" s="207">
        <f t="shared" ref="CG61:CK61" si="106">IF(BS61="P",$C$38,(IF(BS61="S",$K$38,0)))</f>
        <v>0</v>
      </c>
      <c r="CH61" s="207">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7"/>
      <c r="BZ62" s="207"/>
      <c r="CA62" s="207"/>
      <c r="CB62" s="207"/>
      <c r="CC62" s="207"/>
      <c r="CD62" s="207"/>
      <c r="CE62" s="207"/>
      <c r="CF62" s="207"/>
      <c r="CG62" s="207" t="str">
        <f>VLOOKUP(CG63,Teams!$D:$T,17,FALSE)</f>
        <v>M</v>
      </c>
      <c r="CH62" s="207" t="str">
        <f>VLOOKUP(CH63,Teams!$D:$T,17,FALSE)</f>
        <v>M</v>
      </c>
      <c r="CI62" s="36" t="str">
        <f>VLOOKUP(CI63,Teams!$D:$T,17,FALSE)</f>
        <v>M</v>
      </c>
      <c r="CJ62" s="36">
        <f>VLOOKUP(CJ63,Teams!$D:$T,17,FALSE)</f>
        <v>0</v>
      </c>
      <c r="CK62" s="36">
        <f>VLOOKUP(CK63,Teams!$D:$T,17,FALSE)</f>
        <v>0</v>
      </c>
      <c r="CL62" s="36">
        <f>VLOOKUP(CL63,Teams!$D:$T,17,FALSE)</f>
        <v>0</v>
      </c>
      <c r="CM62" s="36">
        <f>VLOOKUP(CM63,Teams!$D:$T,17,FALSE)</f>
        <v>0</v>
      </c>
      <c r="CN62" s="36" t="str">
        <f>VLOOKUP(CN63,Teams!$D:$T,17,FALSE)</f>
        <v>PM</v>
      </c>
      <c r="CO62" s="36" t="str">
        <f>VLOOKUP(CO63,Teams!$D:$T,17,FALSE)</f>
        <v>PM</v>
      </c>
      <c r="CP62" s="36" t="str">
        <f>VLOOKUP(CP63,Teams!$D:$T,17,FALSE)</f>
        <v>PM</v>
      </c>
      <c r="CQ62" s="36" t="str">
        <f>VLOOKUP(CQ63,Teams!$D:$T,17,FALSE)</f>
        <v>PM</v>
      </c>
      <c r="CR62" s="36" t="str">
        <f>VLOOKUP(CR63,Teams!$D:$T,17,FALSE)</f>
        <v>PM</v>
      </c>
      <c r="CS62" s="36" t="str">
        <f>VLOOKUP(CS63,Teams!$D:$T,17,FALSE)</f>
        <v>PM</v>
      </c>
      <c r="CT62" s="36" t="str">
        <f>VLOOKUP(CT63,Teams!$D:$T,17,FALSE)</f>
        <v>PM</v>
      </c>
      <c r="CU62" s="36" t="str">
        <f>VLOOKUP(CU63,Teams!$D:$T,17,FALSE)</f>
        <v>PM</v>
      </c>
      <c r="CV62" s="36">
        <f>VLOOKUP(CV63,Teams!$D:$T,17,FALSE)</f>
        <v>0</v>
      </c>
      <c r="CW62" s="13"/>
      <c r="CX62" s="5"/>
      <c r="CY62" s="5"/>
      <c r="CZ62" s="5"/>
    </row>
    <row r="63" spans="1:104" ht="15" hidden="1"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7"/>
      <c r="BZ63" s="207"/>
      <c r="CA63" s="207"/>
      <c r="CB63" s="207"/>
      <c r="CC63" s="207"/>
      <c r="CD63" s="207"/>
      <c r="CE63" s="207"/>
      <c r="CF63" s="207"/>
      <c r="CG63" s="201" t="str">
        <f>$BO$1&amp;$C2</f>
        <v>Dark ElfRunner</v>
      </c>
      <c r="CH63" s="201" t="str">
        <f>$BO$1&amp;$C3</f>
        <v>Dark ElfBlitzer</v>
      </c>
      <c r="CI63" s="13" t="str">
        <f>$BO$1&amp;$C4</f>
        <v>Dark ElfBlitzer</v>
      </c>
      <c r="CJ63" s="13" t="str">
        <f>$BO$1&amp;$C5</f>
        <v>Dark Elf</v>
      </c>
      <c r="CK63" s="13" t="str">
        <f>$BO$1&amp;$C6</f>
        <v>Dark Elf</v>
      </c>
      <c r="CL63" s="13" t="str">
        <f>$BO$1&amp;$C7</f>
        <v>Dark Elf</v>
      </c>
      <c r="CM63" s="13" t="str">
        <f>$BO$1&amp;$C8</f>
        <v>Dark Elf</v>
      </c>
      <c r="CN63" s="13" t="str">
        <f>$BO$1&amp;$C9</f>
        <v>Dark ElfLineman</v>
      </c>
      <c r="CO63" s="13" t="str">
        <f>$BO$1&amp;$C10</f>
        <v>Dark ElfLineman</v>
      </c>
      <c r="CP63" s="13" t="str">
        <f>$BO$1&amp;$C11</f>
        <v>Dark ElfLineman</v>
      </c>
      <c r="CQ63" s="13" t="str">
        <f>$BO$1&amp;$C12</f>
        <v>Dark ElfLineman</v>
      </c>
      <c r="CR63" s="13" t="str">
        <f>$BO$1&amp;$C13</f>
        <v>Dark ElfLineman</v>
      </c>
      <c r="CS63" s="13" t="str">
        <f>$BO$1&amp;$C14</f>
        <v>Dark ElfLineman</v>
      </c>
      <c r="CT63" s="13" t="str">
        <f>$BO$1&amp;$C15</f>
        <v>Dark ElfLineman</v>
      </c>
      <c r="CU63" s="13" t="str">
        <f>$BO$1&amp;$C16</f>
        <v>Dark ElfLineman</v>
      </c>
      <c r="CV63" s="13" t="str">
        <f>$BO$1&amp;$C17</f>
        <v>Dark Elf</v>
      </c>
      <c r="CW63" s="45"/>
      <c r="CX63" s="5"/>
      <c r="CY63" s="5"/>
      <c r="CZ63" s="5"/>
    </row>
    <row r="64" spans="1:104" ht="15" hidden="1" customHeight="1">
      <c r="A64" s="5"/>
      <c r="B64" s="355" t="s">
        <v>209</v>
      </c>
      <c r="C64" s="356"/>
      <c r="D64" s="356"/>
      <c r="E64" s="356"/>
      <c r="F64" s="356"/>
      <c r="G64" s="5"/>
      <c r="H64" s="5"/>
      <c r="I64" s="5"/>
      <c r="J64" s="5"/>
      <c r="K64" s="355" t="s">
        <v>210</v>
      </c>
      <c r="L64" s="356"/>
      <c r="M64" s="356"/>
      <c r="N64" s="356"/>
      <c r="O64" s="356"/>
      <c r="P64" s="5"/>
      <c r="Q64" s="355" t="s">
        <v>211</v>
      </c>
      <c r="R64" s="356"/>
      <c r="S64" s="356"/>
      <c r="T64" s="356"/>
      <c r="U64" s="356"/>
      <c r="V64" s="5"/>
      <c r="W64" s="355" t="s">
        <v>212</v>
      </c>
      <c r="X64" s="356"/>
      <c r="Y64" s="356"/>
      <c r="Z64" s="356"/>
      <c r="AA64" s="356"/>
      <c r="AB64" s="5"/>
      <c r="AC64" s="355" t="s">
        <v>213</v>
      </c>
      <c r="AD64" s="356"/>
      <c r="AE64" s="356"/>
      <c r="AF64" s="356"/>
      <c r="AG64" s="356"/>
      <c r="AH64" s="5"/>
      <c r="AI64" s="5"/>
      <c r="AJ64" s="5"/>
      <c r="AK64" s="355" t="s">
        <v>214</v>
      </c>
      <c r="AL64" s="356"/>
      <c r="AM64" s="356"/>
      <c r="AN64" s="356"/>
      <c r="AO64" s="356"/>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7"/>
      <c r="BZ64" s="207"/>
      <c r="CA64" s="207"/>
      <c r="CB64" s="207"/>
      <c r="CC64" s="207"/>
      <c r="CD64" s="207">
        <v>0</v>
      </c>
      <c r="CE64" s="207"/>
      <c r="CF64" s="207"/>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c r="A65" s="5"/>
      <c r="B65" s="357" t="str">
        <f>IF(J29&lt;0,(IF(J24="Italiano","AVETE SPESO TROPPO!   ",IF(J24="Español","¡HAS GASTADO DEMASIADO!   ",(IF(J24="Deutsch","ZU VIEL AUSGEGEBEN!   ",(IF(J24="Français","TU DÉPENSES TROP!   ","YOU HAVE EXPENT TOO MUCH!   "))))))),"")</f>
        <v/>
      </c>
      <c r="C65" s="356"/>
      <c r="D65" s="356"/>
      <c r="E65" s="356"/>
      <c r="F65" s="356"/>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6</v>
      </c>
      <c r="AY65" s="5">
        <f>COUNTIF(BS46:BX61,"S")</f>
        <v>0</v>
      </c>
      <c r="AZ65" s="5">
        <f>AX65+AY65</f>
        <v>6</v>
      </c>
      <c r="BA65" s="5">
        <f>COUNTIF(BS46:BX61,"STAT")</f>
        <v>0</v>
      </c>
      <c r="BB65" s="5">
        <f>COUNTIF(I18:I19,1)</f>
        <v>0</v>
      </c>
      <c r="BC65" s="5"/>
      <c r="BD65" s="178"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8" t="s">
        <v>1231</v>
      </c>
      <c r="BM65" s="50">
        <f>IFERROR(IF($BV$2="Bribery and Corruption",80000,120000),0)</f>
        <v>120000</v>
      </c>
      <c r="BN65" s="50"/>
      <c r="BO65" s="178" t="s">
        <v>1236</v>
      </c>
      <c r="BP65" s="50">
        <f>IFERROR((IF(OR(COUNTIF($BU$2,"*BadlandsBrawl*")),50000,0)),0)</f>
        <v>0</v>
      </c>
      <c r="BQ65" s="14"/>
      <c r="BR65" s="178" t="s">
        <v>1244</v>
      </c>
      <c r="BS65" s="354" t="s">
        <v>238</v>
      </c>
      <c r="BT65" s="354"/>
      <c r="BU65" s="354" t="s">
        <v>195</v>
      </c>
      <c r="BV65" s="354"/>
      <c r="BW65" s="354" t="s">
        <v>196</v>
      </c>
      <c r="BX65" s="354"/>
      <c r="BY65" s="354" t="s">
        <v>239</v>
      </c>
      <c r="BZ65" s="354"/>
      <c r="CA65" s="161" t="str">
        <f>IF($J$24="Italiano","Scelto",(IF($J$24="Español","Elegida",(IF($J$24="Deutsch","Gewählt",(IF($J$24="Français","Choisie","Chosen")))))))</f>
        <v>Chosen</v>
      </c>
      <c r="CB65" s="207"/>
      <c r="CC65" s="161" t="str">
        <f>IF($J$24="Español","MO+",(IF($J$24="Deutsch","BE+",(IF($J$24="Français","M+","MA+")))))</f>
        <v>MA+</v>
      </c>
      <c r="CD65" s="207" t="s">
        <v>197</v>
      </c>
      <c r="CE65" s="207"/>
      <c r="CF65" s="207"/>
      <c r="CG65" s="207" t="str">
        <f t="shared" ref="CG65:CG140" si="107">IFERROR((IF($CG$62="M",BW66,IF($CG$62="PM",BY66,IF($CG$62="P",BU66,IF($CG$62="FULL",BS66))))),"")</f>
        <v/>
      </c>
      <c r="CH65" s="207" t="str">
        <f t="shared" ref="CH65:CH140" si="108">IFERROR((IF($CH$62="M",BW66,IF($CH$62="PM",BY66,IF($CH$62="P",BU66,IF($CH$62="FULL",BS66))))),"")</f>
        <v/>
      </c>
      <c r="CI65" s="5" t="str">
        <f t="shared" ref="CI65:CI140" si="109">IFERROR((IF($CI$62="M",BW66,IF($CI$62="PM",BY66,IF($CI$62="P",BU66,IF($CI$62="FULL",BS66))))),"")</f>
        <v/>
      </c>
      <c r="CJ65" s="5" t="b">
        <f t="shared" ref="CJ65:CJ140" si="110">IFERROR((IF($CJ$62="M",BW66,IF($CJ$62="PM",BY66,IF($CJ$62="P",BU66,IF($CJ$62="FULL",BS66))))),"")</f>
        <v>0</v>
      </c>
      <c r="CK65" s="5" t="b">
        <f t="shared" ref="CK65:CK140" si="111">IFERROR((IF($CK$62="M",BW66,IF($CK$62="PM",BY66,IF($CK$62="P",BU66,IF($CK$62="FULL",BS66))))),"")</f>
        <v>0</v>
      </c>
      <c r="CL65" s="5" t="b">
        <f t="shared" ref="CL65:CL140" si="112">IFERROR((IF($CL$62="M",BW66,IF($CL$62="PM",BY66,IF($CL$62="P",BU66,IF($CL$62="FULL",BS66))))),"")</f>
        <v>0</v>
      </c>
      <c r="CM65" s="5" t="b">
        <f t="shared" ref="CM65:CM140" si="113">IFERROR((IF($CM$62="M",BW66,IF($CM$62="PM",BY66,IF($CM$62="P",BU66,IF($CM$62="FULL",BS66))))),"")</f>
        <v>0</v>
      </c>
      <c r="CN65" s="5" t="str">
        <f t="shared" ref="CN65:CN140" si="114">IFERROR((IF($CN$62="M",BW66,IF($CN$62="PM",BY66,IF($CN$62="P",BU66,IF($CN$62="FULL",BS66))))),"")</f>
        <v/>
      </c>
      <c r="CO65" s="5" t="str">
        <f t="shared" ref="CO65:CO140" si="115">IFERROR((IF($CO$62="M",BW66,IF($CO$62="PM",BY66,IF($CO$62="P",BU66,IF($CO$62="FULL",BS66))))),"")</f>
        <v/>
      </c>
      <c r="CP65" s="5" t="str">
        <f t="shared" ref="CP65:CP140" si="116">IFERROR((IF($CP$62="M",BW66,IF($CP$62="PM",BY66,IF($CP$62="P",BU66,IF($CP$62="FULL",BS66))))),"")</f>
        <v/>
      </c>
      <c r="CQ65" s="5" t="str">
        <f t="shared" ref="CQ65:CQ140" si="117">IFERROR((IF($CQ$62="M",BW66,IF($CQ$62="PM",BY66,IF($CQ$62="P",BU66,IF($CQ$62="FULL",BS66))))),"")</f>
        <v/>
      </c>
      <c r="CR65" s="5" t="str">
        <f t="shared" ref="CR65:CR140" si="118">IFERROR((IF($CR$62="M",BW66,IF($CR$62="PM",BY66,IF($CR$62="P",BU66,IF($CR$62="FULL",BS66))))),"")</f>
        <v/>
      </c>
      <c r="CS65" s="5" t="str">
        <f t="shared" ref="CS65:CS140" si="119">IFERROR((IF($CS$62="M",BW66,IF($CS$62="PM",BY66,IF($CS$62="P",BU66,IF($CS$62="FULL",BS66))))),"")</f>
        <v/>
      </c>
      <c r="CT65" s="5" t="str">
        <f t="shared" ref="CT65:CT140" si="120">IFERROR((IF($CT$62="M",BW66,IF($CT$62="PM",BY66,IF($CT$62="P",BU66,IF($CT$62="FULL",BS66))))),"")</f>
        <v/>
      </c>
      <c r="CU65" s="5" t="str">
        <f t="shared" ref="CU65:CU140" si="121">IFERROR((IF($CU$62="M",BW66,IF($CU$62="PM",BY66,IF($CU$62="P",BU66,IF($CU$62="FULL",BS66))))),"")</f>
        <v/>
      </c>
      <c r="CV65" s="5" t="b">
        <f t="shared" ref="CV65:CV140" si="122">IFERROR((IF($CV$62="M",BW66,IF($CV$62="PM",BY66,IF($CV$62="P",BU66,IF($CV$62="FULL",BS66))))),"")</f>
        <v>0</v>
      </c>
      <c r="CW65" s="5"/>
      <c r="CX65" s="5"/>
      <c r="CY65" s="5"/>
      <c r="CZ65" s="5"/>
    </row>
    <row r="66" spans="1:104" ht="15" hidden="1" customHeight="1">
      <c r="A66" s="5"/>
      <c r="B66" s="357"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356"/>
      <c r="D66" s="356"/>
      <c r="E66" s="356"/>
      <c r="F66" s="356"/>
      <c r="G66" s="5"/>
      <c r="H66" s="5"/>
      <c r="I66" s="5"/>
      <c r="J66" s="5"/>
      <c r="K66" s="5">
        <f t="shared" ref="K66:K81" si="123">IF(Q66=0,0,(IF(Q66&gt;9,9,(IF(Q66&lt;1,1,Q66)))))</f>
        <v>7</v>
      </c>
      <c r="L66" s="5">
        <f t="shared" ref="L66:L81" si="124">IF(R66=0,0,(IF(R66&gt;8,8,(IF(R66&lt;1,1,R66)))))</f>
        <v>3</v>
      </c>
      <c r="M66" s="5">
        <f t="shared" ref="M66:N66" si="125">IF(S66=0,0,(IF(S66&gt;6,6,(IF(S66&lt;1,1,S66)))))</f>
        <v>2</v>
      </c>
      <c r="N66" s="5">
        <f t="shared" si="125"/>
        <v>3</v>
      </c>
      <c r="O66" s="5">
        <f t="shared" ref="O66:O81" si="126">IF(U66=0,0,(IF(U66&gt;11,11,(IF(U66&lt;3,3,U66)))))</f>
        <v>8</v>
      </c>
      <c r="P66" s="5"/>
      <c r="Q66" s="4">
        <f>IFERROR((VLOOKUP($BO$1&amp;C2,Teams!D:M,2,0)+AK66+AC66),0)</f>
        <v>7</v>
      </c>
      <c r="R66" s="4">
        <f>IFERROR((VLOOKUP($BO$1&amp;C2,Teams!D:M,3,0)+AL66+AD66),0)</f>
        <v>3</v>
      </c>
      <c r="S66" s="4">
        <f>IFERROR((VLOOKUP($BO$1&amp;C2,Teams!D:M,4,0)+AM66-AE66),0)</f>
        <v>2</v>
      </c>
      <c r="T66" s="4">
        <f>IFERROR((VLOOKUP($BO$1&amp;C2,Teams!D:M,5,0)+AN66-AF66),0)</f>
        <v>3</v>
      </c>
      <c r="U66" s="4">
        <f>IFERROR((VLOOKUP($BO$1&amp;C2,Teams!D:M,6,0)+AO66+AG66),0)</f>
        <v>8</v>
      </c>
      <c r="V66" s="5"/>
      <c r="W66" s="5">
        <f>IFERROR((VLOOKUP($BO$1&amp;C2,Teams!D:M,2,0)),0)</f>
        <v>7</v>
      </c>
      <c r="X66" s="5">
        <f>IFERROR((VLOOKUP($BO$1&amp;C2,Teams!D:M,3,0)),0)</f>
        <v>3</v>
      </c>
      <c r="Y66" s="5">
        <f>IFERROR((VLOOKUP($BO$1&amp;C2,Teams!D:M,4,0)),0)</f>
        <v>2</v>
      </c>
      <c r="Z66" s="5">
        <f>IFERROR((VLOOKUP($BO$1&amp;C2,Teams!D:M,5,0)),0)</f>
        <v>3</v>
      </c>
      <c r="AA66" s="5">
        <f>IFERROR((VLOOKUP($BO$1&amp;C2,Teams!D:M,6,0)),0)</f>
        <v>8</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8" t="s">
        <v>1212</v>
      </c>
      <c r="BE66" s="50">
        <f>IFERROR((IF(OR(COUNTIF($BU$2,"*ElvenKingdomsLeague*"),COUNTIF($BU$2,"*LustrianSuperleague*"),COUNTIF($BU$2,"*OldWorldClassic*"),COUNTIF($BU$2,"*WorldsEdgeSuperleague*")),50000,0)),0)</f>
        <v>50000</v>
      </c>
      <c r="BF66" s="50"/>
      <c r="BG66" s="14"/>
      <c r="BH66" s="178" t="s">
        <v>1221</v>
      </c>
      <c r="BI66" s="50">
        <f>IFERROR((IF(OR(COUNTIF($BU$2,"*Favouredof*"),COUNTIF($BU$2,"*UnderworldChallenge*")),150000,0)),0)</f>
        <v>0</v>
      </c>
      <c r="BJ66" s="50"/>
      <c r="BK66" s="5"/>
      <c r="BL66" s="178" t="s">
        <v>1232</v>
      </c>
      <c r="BM66" s="50">
        <f>IFERROR((IF(OR(COUNTIF($BU$2,"*LustrianSuperleague*"),COUNTIF($BU$2,"*OldWorldClassic*")),130000,0)),0)</f>
        <v>0</v>
      </c>
      <c r="BN66" s="50"/>
      <c r="BO66" s="178" t="s">
        <v>1237</v>
      </c>
      <c r="BP66" s="50">
        <f>IFERROR((IF(OR(COUNTIF(AJ30,"*Nurgle*")),30000,0)),0)</f>
        <v>0</v>
      </c>
      <c r="BQ66" s="14"/>
      <c r="BR66" s="178"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7"/>
      <c r="CC66" s="161" t="str">
        <f>IF($J$24="Español","AR+",(IF($J$24="Deutsch","RW+",(IF($J$24="Français","AR+","AV+")))))</f>
        <v>AV+</v>
      </c>
      <c r="CD66" s="207" t="s">
        <v>198</v>
      </c>
      <c r="CE66" s="207"/>
      <c r="CF66" s="207"/>
      <c r="CG66" s="207" t="str">
        <f t="shared" si="107"/>
        <v>MA+</v>
      </c>
      <c r="CH66" s="207" t="str">
        <f t="shared" si="108"/>
        <v>MA+</v>
      </c>
      <c r="CI66" s="5" t="str">
        <f t="shared" si="109"/>
        <v>MA+</v>
      </c>
      <c r="CJ66" s="5" t="b">
        <f t="shared" si="110"/>
        <v>0</v>
      </c>
      <c r="CK66" s="5" t="b">
        <f t="shared" si="111"/>
        <v>0</v>
      </c>
      <c r="CL66" s="5" t="b">
        <f t="shared" si="112"/>
        <v>0</v>
      </c>
      <c r="CM66" s="5" t="b">
        <f t="shared" si="113"/>
        <v>0</v>
      </c>
      <c r="CN66" s="5" t="str">
        <f t="shared" si="114"/>
        <v>MA+</v>
      </c>
      <c r="CO66" s="5" t="str">
        <f t="shared" si="115"/>
        <v>MA+</v>
      </c>
      <c r="CP66" s="5" t="str">
        <f t="shared" si="116"/>
        <v>MA+</v>
      </c>
      <c r="CQ66" s="5" t="str">
        <f t="shared" si="117"/>
        <v>MA+</v>
      </c>
      <c r="CR66" s="5" t="str">
        <f t="shared" si="118"/>
        <v>MA+</v>
      </c>
      <c r="CS66" s="5" t="str">
        <f t="shared" si="119"/>
        <v>MA+</v>
      </c>
      <c r="CT66" s="5" t="str">
        <f t="shared" si="120"/>
        <v>MA+</v>
      </c>
      <c r="CU66" s="5" t="str">
        <f t="shared" si="121"/>
        <v>MA+</v>
      </c>
      <c r="CV66" s="5" t="b">
        <f t="shared" si="122"/>
        <v>0</v>
      </c>
      <c r="CW66" s="5"/>
      <c r="CX66" s="5"/>
      <c r="CY66" s="5"/>
      <c r="CZ66" s="5"/>
    </row>
    <row r="67" spans="1:104" ht="15" hidden="1" customHeight="1">
      <c r="A67" s="5"/>
      <c r="B67" s="357" t="str">
        <f>IF(C37&lt;AZ65,(IF(J24="Italiano","TROPPE ABILITÀ!   ",IF(J24="Español","¡DEMASIADAS HABILIDADES!   ",(IF(J24="Deutsch","ZU VIELE FERTIGKEITEN!   ",(IF(J24="Français","TROP DE COMPÉTENCES!   ","TOO MANY SKILLS!   "))))))),"")</f>
        <v/>
      </c>
      <c r="C67" s="356"/>
      <c r="D67" s="356"/>
      <c r="E67" s="356"/>
      <c r="F67" s="356"/>
      <c r="G67" s="5"/>
      <c r="H67" s="5"/>
      <c r="I67" s="5"/>
      <c r="J67" s="5"/>
      <c r="K67" s="5">
        <f t="shared" si="123"/>
        <v>7</v>
      </c>
      <c r="L67" s="5">
        <f t="shared" si="124"/>
        <v>3</v>
      </c>
      <c r="M67" s="5">
        <f t="shared" ref="M67:N67" si="138">IF(S67=0,0,(IF(S67&gt;6,6,(IF(S67&lt;1,1,S67)))))</f>
        <v>2</v>
      </c>
      <c r="N67" s="5">
        <f t="shared" si="138"/>
        <v>4</v>
      </c>
      <c r="O67" s="5">
        <f t="shared" si="126"/>
        <v>9</v>
      </c>
      <c r="P67" s="5"/>
      <c r="Q67" s="4">
        <f>IFERROR((VLOOKUP($BO$1&amp;C3,Teams!D:M,2,0)+AK67+AC67),0)</f>
        <v>7</v>
      </c>
      <c r="R67" s="4">
        <f>IFERROR((VLOOKUP($BO$1&amp;C3,Teams!D:M,3,0)+AL67+AD67),0)</f>
        <v>3</v>
      </c>
      <c r="S67" s="4">
        <f>IFERROR((VLOOKUP($BO$1&amp;C3,Teams!D:M,4,0)+AM67-AE67),0)</f>
        <v>2</v>
      </c>
      <c r="T67" s="4">
        <f>IFERROR((VLOOKUP($BO$1&amp;C3,Teams!D:M,5,0)+AN67-AF67),0)</f>
        <v>4</v>
      </c>
      <c r="U67" s="4">
        <f>IFERROR((VLOOKUP($BO$1&amp;C3,Teams!D:M,6,0)+AO67+AG67),0)</f>
        <v>9</v>
      </c>
      <c r="V67" s="5"/>
      <c r="W67" s="5">
        <f>IFERROR((VLOOKUP($BO$1&amp;C3,Teams!D:M,2,0)),0)</f>
        <v>7</v>
      </c>
      <c r="X67" s="5">
        <f>IFERROR((VLOOKUP($BO$1&amp;C3,Teams!D:M,3,0)),0)</f>
        <v>3</v>
      </c>
      <c r="Y67" s="5">
        <f>IFERROR((VLOOKUP($BO$1&amp;C3,Teams!D:M,4,0)),0)</f>
        <v>2</v>
      </c>
      <c r="Z67" s="5">
        <f>IFERROR((VLOOKUP($BO$1&amp;C3,Teams!D:M,5,0)),0)</f>
        <v>4</v>
      </c>
      <c r="AA67" s="5">
        <f>IFERROR((VLOOKUP($BO$1&amp;C3,Teams!D:M,6,0)),0)</f>
        <v>9</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8" t="s">
        <v>1213</v>
      </c>
      <c r="BE67" s="50">
        <f>IFERROR((IF(OR(COUNTIF($BU$2,"*Favouredof*"),COUNTIF($BU$2,"*UnderworldChallenge*")),80000,0)),0)</f>
        <v>0</v>
      </c>
      <c r="BF67" s="14"/>
      <c r="BG67" s="14"/>
      <c r="BH67" s="178" t="s">
        <v>1222</v>
      </c>
      <c r="BI67" s="50">
        <f>IFERROR((IF(OR(COUNTIF($BU$2,"*Favouredof*"),COUNTIF($BU$2,"*ElvenKingdomsLeague*")),150000,0)),0)</f>
        <v>150000</v>
      </c>
      <c r="BJ67" s="14"/>
      <c r="BK67" s="5"/>
      <c r="BL67" s="178" t="s">
        <v>1233</v>
      </c>
      <c r="BM67" s="50">
        <f>IFERROR((IF(OR(COUNTIF($BU$2,"*WorldsEdgeSuperleague*")),120000,0)),0)</f>
        <v>0</v>
      </c>
      <c r="BN67" s="5"/>
      <c r="BO67" s="178" t="s">
        <v>1238</v>
      </c>
      <c r="BP67" s="50">
        <f>IFERROR((IF(OR(COUNTIF($BU$2,"*OldWorldClassic*"),COUNTIF($BU$2,"*WorldsEdgeSuperleague*")),50000,0)),0)</f>
        <v>0</v>
      </c>
      <c r="BQ67" s="14"/>
      <c r="BR67" s="178"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7"/>
      <c r="CB67" s="207"/>
      <c r="CC67" s="161" t="str">
        <f>IF($J$24="Deutsch","GE-","AG-")</f>
        <v>AG-</v>
      </c>
      <c r="CD67" s="207" t="s">
        <v>199</v>
      </c>
      <c r="CE67" s="207"/>
      <c r="CF67" s="207"/>
      <c r="CG67" s="207" t="str">
        <f t="shared" si="107"/>
        <v>AV+</v>
      </c>
      <c r="CH67" s="207" t="str">
        <f t="shared" si="108"/>
        <v>AV+</v>
      </c>
      <c r="CI67" s="5" t="str">
        <f t="shared" si="109"/>
        <v>AV+</v>
      </c>
      <c r="CJ67" s="5" t="b">
        <f t="shared" si="110"/>
        <v>0</v>
      </c>
      <c r="CK67" s="5" t="b">
        <f t="shared" si="111"/>
        <v>0</v>
      </c>
      <c r="CL67" s="5" t="b">
        <f t="shared" si="112"/>
        <v>0</v>
      </c>
      <c r="CM67" s="5" t="b">
        <f t="shared" si="113"/>
        <v>0</v>
      </c>
      <c r="CN67" s="5" t="str">
        <f t="shared" si="114"/>
        <v>AV+</v>
      </c>
      <c r="CO67" s="5" t="str">
        <f t="shared" si="115"/>
        <v>AV+</v>
      </c>
      <c r="CP67" s="5" t="str">
        <f t="shared" si="116"/>
        <v>AV+</v>
      </c>
      <c r="CQ67" s="5" t="str">
        <f t="shared" si="117"/>
        <v>AV+</v>
      </c>
      <c r="CR67" s="5" t="str">
        <f t="shared" si="118"/>
        <v>AV+</v>
      </c>
      <c r="CS67" s="5" t="str">
        <f t="shared" si="119"/>
        <v>AV+</v>
      </c>
      <c r="CT67" s="5" t="str">
        <f t="shared" si="120"/>
        <v>AV+</v>
      </c>
      <c r="CU67" s="5" t="str">
        <f t="shared" si="121"/>
        <v>AV+</v>
      </c>
      <c r="CV67" s="5" t="b">
        <f t="shared" si="122"/>
        <v>0</v>
      </c>
      <c r="CW67" s="5"/>
      <c r="CX67" s="5"/>
      <c r="CY67" s="5"/>
      <c r="CZ67" s="5"/>
    </row>
    <row r="68" spans="1:104" ht="15" hidden="1" customHeight="1">
      <c r="A68" s="5"/>
      <c r="B68" s="357" t="str">
        <f>IF(K37&lt;AX65,(IF(J24="Italiano","TROPPE ABILITÀ PRIMARIE!   ",IF(J24="Español","¡DEMASIADAS HABILIDADES PRIMARIAS!   ",(IF(J24="Deutsch","ZU VIELE PRIMÄRE FERTIGKEITEN!   ",(IF(J24="Français","TROP DE COMP PRIMAIRES!   ","TOO MANY PRIMARY SKILLS!   "))))))),"")</f>
        <v/>
      </c>
      <c r="C68" s="356"/>
      <c r="D68" s="356"/>
      <c r="E68" s="356"/>
      <c r="F68" s="356"/>
      <c r="G68" s="5"/>
      <c r="H68" s="5"/>
      <c r="I68" s="5"/>
      <c r="J68" s="5"/>
      <c r="K68" s="5">
        <f t="shared" si="123"/>
        <v>7</v>
      </c>
      <c r="L68" s="5">
        <f t="shared" si="124"/>
        <v>3</v>
      </c>
      <c r="M68" s="5">
        <f t="shared" ref="M68:N68" si="139">IF(S68=0,0,(IF(S68&gt;6,6,(IF(S68&lt;1,1,S68)))))</f>
        <v>2</v>
      </c>
      <c r="N68" s="5">
        <f t="shared" si="139"/>
        <v>4</v>
      </c>
      <c r="O68" s="5">
        <f t="shared" si="126"/>
        <v>9</v>
      </c>
      <c r="P68" s="5"/>
      <c r="Q68" s="4">
        <f>IFERROR((VLOOKUP($BO$1&amp;C4,Teams!D:M,2,0)+AK68+AC68),0)</f>
        <v>7</v>
      </c>
      <c r="R68" s="4">
        <f>IFERROR((VLOOKUP($BO$1&amp;C4,Teams!D:M,3,0)+AL68+AD68),0)</f>
        <v>3</v>
      </c>
      <c r="S68" s="4">
        <f>IFERROR((VLOOKUP($BO$1&amp;C4,Teams!D:M,4,0)+AM68-AE68),0)</f>
        <v>2</v>
      </c>
      <c r="T68" s="4">
        <f>IFERROR((VLOOKUP($BO$1&amp;C4,Teams!D:M,5,0)+AN68-AF68),0)</f>
        <v>4</v>
      </c>
      <c r="U68" s="4">
        <f>IFERROR((VLOOKUP($BO$1&amp;C4,Teams!D:M,6,0)+AO68+AG68),0)</f>
        <v>9</v>
      </c>
      <c r="V68" s="5"/>
      <c r="W68" s="5">
        <f>IFERROR((VLOOKUP($BO$1&amp;C4,Teams!D:M,2,0)),0)</f>
        <v>7</v>
      </c>
      <c r="X68" s="5">
        <f>IFERROR((VLOOKUP($BO$1&amp;C4,Teams!D:M,3,0)),0)</f>
        <v>3</v>
      </c>
      <c r="Y68" s="5">
        <f>IFERROR((VLOOKUP($BO$1&amp;C4,Teams!D:M,4,0)),0)</f>
        <v>2</v>
      </c>
      <c r="Z68" s="5">
        <f>IFERROR((VLOOKUP($BO$1&amp;C4,Teams!D:M,5,0)),0)</f>
        <v>4</v>
      </c>
      <c r="AA68" s="5">
        <f>IFERROR((VLOOKUP($BO$1&amp;C4,Teams!D:M,6,0)),0)</f>
        <v>9</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8" t="s">
        <v>1214</v>
      </c>
      <c r="BE68" s="50">
        <f>IFERROR((IF(COUNTIF($BU$2,"*ElvenKingdomsLeague*"),40000,0)),0)</f>
        <v>40000</v>
      </c>
      <c r="BF68" s="14"/>
      <c r="BG68" s="14"/>
      <c r="BH68" s="178" t="s">
        <v>1223</v>
      </c>
      <c r="BI68" s="50">
        <f>IFERROR((IF(OR(COUNTIF($BU$2,"*ElvenKingdomsLeague*")),150000,0)),0)</f>
        <v>150000</v>
      </c>
      <c r="BJ68" s="14"/>
      <c r="BK68" s="50"/>
      <c r="BL68" s="178" t="s">
        <v>1234</v>
      </c>
      <c r="BM68" s="50">
        <f>IFERROR(IF($BV$2="Bribery and Corruption",80000,120000),0)</f>
        <v>120000</v>
      </c>
      <c r="BN68" s="50"/>
      <c r="BO68" s="178" t="s">
        <v>1239</v>
      </c>
      <c r="BP68" s="50">
        <f>IFERROR(IF(COUNTIF($BU$2,"*HalflingThimbleCup*"),60000,(IF(COUNTIF($BU$2,"*OldWorldClassic*"),80000,0))),0)</f>
        <v>0</v>
      </c>
      <c r="BQ68" s="14"/>
      <c r="BR68" s="178"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7" t="s">
        <v>200</v>
      </c>
      <c r="CE68" s="207"/>
      <c r="CF68" s="207"/>
      <c r="CG68" s="207" t="str">
        <f t="shared" si="107"/>
        <v>AG-</v>
      </c>
      <c r="CH68" s="207" t="str">
        <f t="shared" si="108"/>
        <v>AG-</v>
      </c>
      <c r="CI68" s="5" t="str">
        <f t="shared" si="109"/>
        <v>AG-</v>
      </c>
      <c r="CJ68" s="5" t="b">
        <f t="shared" si="110"/>
        <v>0</v>
      </c>
      <c r="CK68" s="5" t="b">
        <f t="shared" si="111"/>
        <v>0</v>
      </c>
      <c r="CL68" s="5" t="b">
        <f t="shared" si="112"/>
        <v>0</v>
      </c>
      <c r="CM68" s="5" t="b">
        <f t="shared" si="113"/>
        <v>0</v>
      </c>
      <c r="CN68" s="5" t="str">
        <f t="shared" si="114"/>
        <v>AG-</v>
      </c>
      <c r="CO68" s="5" t="str">
        <f t="shared" si="115"/>
        <v>AG-</v>
      </c>
      <c r="CP68" s="5" t="str">
        <f t="shared" si="116"/>
        <v>AG-</v>
      </c>
      <c r="CQ68" s="5" t="str">
        <f t="shared" si="117"/>
        <v>AG-</v>
      </c>
      <c r="CR68" s="5" t="str">
        <f t="shared" si="118"/>
        <v>AG-</v>
      </c>
      <c r="CS68" s="5" t="str">
        <f t="shared" si="119"/>
        <v>AG-</v>
      </c>
      <c r="CT68" s="5" t="str">
        <f t="shared" si="120"/>
        <v>AG-</v>
      </c>
      <c r="CU68" s="5" t="str">
        <f t="shared" si="121"/>
        <v>AG-</v>
      </c>
      <c r="CV68" s="5" t="b">
        <f t="shared" si="122"/>
        <v>0</v>
      </c>
      <c r="CW68" s="5"/>
      <c r="CX68" s="5"/>
      <c r="CY68" s="5"/>
      <c r="CZ68" s="5"/>
    </row>
    <row r="69" spans="1:104" ht="15" hidden="1" customHeight="1">
      <c r="A69" s="5"/>
      <c r="B69" s="357" t="str">
        <f>IF(Q37&lt;AY65,(IF(J24="Italiano","TROPPE ABILITÀ SECONDARIE!   ",IF(J24="Español","¡DEMASIADAS HABILIDADES SECUNDARIAS!   ",(IF(J24="Deutsch","ZU VIELE SEKUNDÄRE FERTIGKEITEN!   ",(IF(J24="Français","TROP DE COMP SECONDAIRES!   ","TOO MANY SECONDARY SKILLS!   "))))))),"")</f>
        <v/>
      </c>
      <c r="C69" s="356"/>
      <c r="D69" s="356"/>
      <c r="E69" s="356"/>
      <c r="F69" s="356"/>
      <c r="G69" s="5"/>
      <c r="H69" s="5"/>
      <c r="I69" s="5"/>
      <c r="J69" s="5"/>
      <c r="K69" s="5">
        <f t="shared" si="123"/>
        <v>0</v>
      </c>
      <c r="L69" s="5">
        <f t="shared" si="124"/>
        <v>0</v>
      </c>
      <c r="M69" s="5">
        <f t="shared" ref="M69:N69" si="140">IF(S69=0,0,(IF(S69&gt;6,6,(IF(S69&lt;1,1,S69)))))</f>
        <v>0</v>
      </c>
      <c r="N69" s="5">
        <f t="shared" si="140"/>
        <v>0</v>
      </c>
      <c r="O69" s="5">
        <f t="shared" si="126"/>
        <v>0</v>
      </c>
      <c r="P69" s="5" t="s">
        <v>241</v>
      </c>
      <c r="Q69" s="4">
        <f>IFERROR((VLOOKUP($BO$1&amp;C5,Teams!D:M,2,0)+AK69+AC69),0)</f>
        <v>0</v>
      </c>
      <c r="R69" s="4">
        <f>IFERROR((VLOOKUP($BO$1&amp;C5,Teams!D:M,3,0)+AL69+AD69),0)</f>
        <v>0</v>
      </c>
      <c r="S69" s="4">
        <f>IFERROR((VLOOKUP($BO$1&amp;C5,Teams!D:M,4,0)+AM69-AE69),0)</f>
        <v>0</v>
      </c>
      <c r="T69" s="4">
        <f>IFERROR((VLOOKUP($BO$1&amp;C5,Teams!D:M,5,0)+AN69-AF69),0)</f>
        <v>0</v>
      </c>
      <c r="U69" s="4">
        <f>IFERROR((VLOOKUP($BO$1&amp;C5,Teams!D:M,6,0)+AO69+AG69),0)</f>
        <v>0</v>
      </c>
      <c r="V69" s="5"/>
      <c r="W69" s="5">
        <f>IFERROR((VLOOKUP($BO$1&amp;C5,Teams!D:M,2,0)),0)</f>
        <v>0</v>
      </c>
      <c r="X69" s="5">
        <f>IFERROR((VLOOKUP($BO$1&amp;C5,Teams!D:M,3,0)),0)</f>
        <v>0</v>
      </c>
      <c r="Y69" s="5">
        <f>IFERROR((VLOOKUP($BO$1&amp;C5,Teams!D:M,4,0)),0)</f>
        <v>0</v>
      </c>
      <c r="Z69" s="5">
        <f>IFERROR((VLOOKUP($BO$1&amp;C5,Teams!D:M,5,0)),0)</f>
        <v>0</v>
      </c>
      <c r="AA69" s="5">
        <f>IFERROR((VLOOKUP($BO$1&amp;C5,Teams!D:M,6,0)),0)</f>
        <v>0</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8" t="s">
        <v>1215</v>
      </c>
      <c r="BE69" s="50">
        <f>IFERROR((IF(COUNTIF($BU$2,"*UnderworldChallenge*"),70000,0)),0)</f>
        <v>0</v>
      </c>
      <c r="BF69" s="14"/>
      <c r="BG69" s="14"/>
      <c r="BH69" s="178" t="s">
        <v>1224</v>
      </c>
      <c r="BI69" s="50">
        <f>IFERROR((IF(OR(COUNTIF($BU$2,"*LustrianSuperleague*")),200000,0)),0)</f>
        <v>0</v>
      </c>
      <c r="BJ69" s="14"/>
      <c r="BK69" s="50"/>
      <c r="BL69" s="178" t="s">
        <v>1235</v>
      </c>
      <c r="BM69" s="50">
        <f>IFERROR((IF(OR(COUNTIF($BU$2,"*HalflingThimbleCup*")),40000,80000)),0)</f>
        <v>80000</v>
      </c>
      <c r="BN69" s="50"/>
      <c r="BO69" s="178" t="s">
        <v>1240</v>
      </c>
      <c r="BP69" s="50">
        <f>IFERROR(IF(COUNTIF($BU$2,"*HalflingThimbleCup*"),30000,(IF(COUNTIF($BU$2,"*OldWorldClassic*"),40000,0))),0)</f>
        <v>0</v>
      </c>
      <c r="BQ69" s="14"/>
      <c r="BR69" s="178"/>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7" t="s">
        <v>201</v>
      </c>
      <c r="CE69" s="207"/>
      <c r="CF69" s="207"/>
      <c r="CG69" s="207" t="str">
        <f t="shared" si="107"/>
        <v>PA-</v>
      </c>
      <c r="CH69" s="207" t="str">
        <f t="shared" si="108"/>
        <v>PA-</v>
      </c>
      <c r="CI69" s="5" t="str">
        <f t="shared" si="109"/>
        <v>PA-</v>
      </c>
      <c r="CJ69" s="5" t="b">
        <f t="shared" si="110"/>
        <v>0</v>
      </c>
      <c r="CK69" s="5" t="b">
        <f t="shared" si="111"/>
        <v>0</v>
      </c>
      <c r="CL69" s="5" t="b">
        <f t="shared" si="112"/>
        <v>0</v>
      </c>
      <c r="CM69" s="5" t="b">
        <f t="shared" si="113"/>
        <v>0</v>
      </c>
      <c r="CN69" s="5" t="str">
        <f t="shared" si="114"/>
        <v>PA-</v>
      </c>
      <c r="CO69" s="5" t="str">
        <f t="shared" si="115"/>
        <v>PA-</v>
      </c>
      <c r="CP69" s="5" t="str">
        <f t="shared" si="116"/>
        <v>PA-</v>
      </c>
      <c r="CQ69" s="5" t="str">
        <f t="shared" si="117"/>
        <v>PA-</v>
      </c>
      <c r="CR69" s="5" t="str">
        <f t="shared" si="118"/>
        <v>PA-</v>
      </c>
      <c r="CS69" s="5" t="str">
        <f t="shared" si="119"/>
        <v>PA-</v>
      </c>
      <c r="CT69" s="5" t="str">
        <f t="shared" si="120"/>
        <v>PA-</v>
      </c>
      <c r="CU69" s="5" t="str">
        <f t="shared" si="121"/>
        <v>PA-</v>
      </c>
      <c r="CV69" s="5" t="b">
        <f t="shared" si="122"/>
        <v>0</v>
      </c>
      <c r="CW69" s="5"/>
      <c r="CX69" s="5"/>
      <c r="CY69" s="5"/>
      <c r="CZ69" s="5"/>
    </row>
    <row r="70" spans="1:104" ht="15" hidden="1" customHeight="1">
      <c r="A70" s="5"/>
      <c r="B70" s="357" t="str">
        <f>IF(W37&lt;BA65,(IF(J24="Italiano","TROPPE STATISTICHE!   ",IF(J24="Español","¡DEMASIADAS ATRIBUTOS!   ",(IF(J24="Deutsch","ZU VIELE EIGENSCHAFTEN!   ",(IF(J24="Français","TROP D’AMÉLIO. CARACACTÉRISTIQUES!   ","TOO MANY STATS!   "))))))),"")</f>
        <v/>
      </c>
      <c r="C70" s="356"/>
      <c r="D70" s="356"/>
      <c r="E70" s="356"/>
      <c r="F70" s="356"/>
      <c r="G70" s="5"/>
      <c r="H70" s="5"/>
      <c r="I70" s="5"/>
      <c r="J70" s="5"/>
      <c r="K70" s="5">
        <f t="shared" si="123"/>
        <v>0</v>
      </c>
      <c r="L70" s="5">
        <f t="shared" si="124"/>
        <v>0</v>
      </c>
      <c r="M70" s="5">
        <f t="shared" ref="M70:N70" si="141">IF(S70=0,0,(IF(S70&gt;6,6,(IF(S70&lt;1,1,S70)))))</f>
        <v>0</v>
      </c>
      <c r="N70" s="5">
        <f t="shared" si="141"/>
        <v>0</v>
      </c>
      <c r="O70" s="5">
        <f t="shared" si="126"/>
        <v>0</v>
      </c>
      <c r="P70" s="5"/>
      <c r="Q70" s="4">
        <f>IFERROR((VLOOKUP($BO$1&amp;C6,Teams!D:M,2,0)+AK70+AC70),0)</f>
        <v>0</v>
      </c>
      <c r="R70" s="4">
        <f>IFERROR((VLOOKUP($BO$1&amp;C6,Teams!D:M,3,0)+AL70+AD70),0)</f>
        <v>0</v>
      </c>
      <c r="S70" s="4">
        <f>IFERROR((VLOOKUP($BO$1&amp;C6,Teams!D:M,4,0)+AM70-AE70),0)</f>
        <v>0</v>
      </c>
      <c r="T70" s="4">
        <f>IFERROR((VLOOKUP($BO$1&amp;C6,Teams!D:M,5,0)+AN70-AF70),0)</f>
        <v>0</v>
      </c>
      <c r="U70" s="4">
        <f>IFERROR((VLOOKUP($BO$1&amp;C6,Teams!D:M,6,0)+AO70+AG70),0)</f>
        <v>0</v>
      </c>
      <c r="V70" s="5"/>
      <c r="W70" s="5">
        <f>IFERROR((VLOOKUP($BO$1&amp;C6,Teams!D:M,2,0)),0)</f>
        <v>0</v>
      </c>
      <c r="X70" s="5">
        <f>IFERROR((VLOOKUP($BO$1&amp;C6,Teams!D:M,3,0)),0)</f>
        <v>0</v>
      </c>
      <c r="Y70" s="5">
        <f>IFERROR((VLOOKUP($BO$1&amp;C6,Teams!D:M,4,0)),0)</f>
        <v>0</v>
      </c>
      <c r="Z70" s="5">
        <f>IFERROR((VLOOKUP($BO$1&amp;C6,Teams!D:M,5,0)),0)</f>
        <v>0</v>
      </c>
      <c r="AA70" s="5">
        <f>IFERROR((VLOOKUP($BO$1&amp;C6,Teams!D:M,6,0)),0)</f>
        <v>0</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8" t="s">
        <v>1216</v>
      </c>
      <c r="BE70" s="50">
        <v>100000</v>
      </c>
      <c r="BF70" s="14"/>
      <c r="BG70" s="14"/>
      <c r="BH70" s="178" t="s">
        <v>1225</v>
      </c>
      <c r="BI70" s="50">
        <f>IFERROR((IF(OR(COUNTIF(AJ30,"*Nurgle*"),COUNTIF($BU$2,"*UnderworldChallenge*")),150000,0)),0)</f>
        <v>0</v>
      </c>
      <c r="BJ70" s="14"/>
      <c r="BK70" s="50"/>
      <c r="BL70" s="50"/>
      <c r="BM70" s="5"/>
      <c r="BN70" s="50"/>
      <c r="BO70" s="178" t="s">
        <v>1241</v>
      </c>
      <c r="BP70" s="50">
        <v>40000</v>
      </c>
      <c r="BQ70" s="14"/>
      <c r="BR70" s="178"/>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7"/>
      <c r="CC70" s="161" t="str">
        <f>IF($J$24="Español","Agallas",(IF($J$24="Deutsch","Abwehren",(IF($J$24="Français","Arracher le ballon","Block")))))</f>
        <v>Block</v>
      </c>
      <c r="CD70" s="207" t="s">
        <v>192</v>
      </c>
      <c r="CE70" s="202"/>
      <c r="CF70" s="207"/>
      <c r="CG70" s="207" t="str">
        <f t="shared" si="107"/>
        <v>ST+</v>
      </c>
      <c r="CH70" s="207" t="str">
        <f t="shared" si="108"/>
        <v>ST+</v>
      </c>
      <c r="CI70" s="5" t="str">
        <f t="shared" si="109"/>
        <v>ST+</v>
      </c>
      <c r="CJ70" s="5" t="b">
        <f t="shared" si="110"/>
        <v>0</v>
      </c>
      <c r="CK70" s="5" t="b">
        <f t="shared" si="111"/>
        <v>0</v>
      </c>
      <c r="CL70" s="5" t="b">
        <f t="shared" si="112"/>
        <v>0</v>
      </c>
      <c r="CM70" s="5" t="b">
        <f t="shared" si="113"/>
        <v>0</v>
      </c>
      <c r="CN70" s="5" t="str">
        <f t="shared" si="114"/>
        <v>ST+</v>
      </c>
      <c r="CO70" s="5" t="str">
        <f t="shared" si="115"/>
        <v>ST+</v>
      </c>
      <c r="CP70" s="5" t="str">
        <f t="shared" si="116"/>
        <v>ST+</v>
      </c>
      <c r="CQ70" s="5" t="str">
        <f t="shared" si="117"/>
        <v>ST+</v>
      </c>
      <c r="CR70" s="5" t="str">
        <f t="shared" si="118"/>
        <v>ST+</v>
      </c>
      <c r="CS70" s="5" t="str">
        <f t="shared" si="119"/>
        <v>ST+</v>
      </c>
      <c r="CT70" s="5" t="str">
        <f t="shared" si="120"/>
        <v>ST+</v>
      </c>
      <c r="CU70" s="5" t="str">
        <f t="shared" si="121"/>
        <v>ST+</v>
      </c>
      <c r="CV70" s="5" t="b">
        <f t="shared" si="122"/>
        <v>0</v>
      </c>
      <c r="CW70" s="5"/>
      <c r="CX70" s="5"/>
      <c r="CY70" s="5"/>
      <c r="CZ70" s="5"/>
    </row>
    <row r="71" spans="1:104" ht="15" hidden="1" customHeight="1">
      <c r="A71" s="5"/>
      <c r="B71" s="357" t="str">
        <f>IF(C35&lt;AI83,(IF(J24="Italiano","TROPPE ABILITÀ!   ",IF(J24="Español","¡DEMASIADAS HABILIDADES!   ",(IF(J24="Deutsch","ZU VIELE FERTIGKEITEN!   ",(IF(J24="Français","TROP DE COMPÉTENCES!   ","TOO MANY SKILLS!   "))))))),"")</f>
        <v/>
      </c>
      <c r="C71" s="356"/>
      <c r="D71" s="356"/>
      <c r="E71" s="356"/>
      <c r="F71" s="356"/>
      <c r="G71" s="5"/>
      <c r="H71" s="5"/>
      <c r="I71" s="5"/>
      <c r="J71" s="5"/>
      <c r="K71" s="5">
        <f t="shared" si="123"/>
        <v>0</v>
      </c>
      <c r="L71" s="5">
        <f t="shared" si="124"/>
        <v>0</v>
      </c>
      <c r="M71" s="5">
        <f t="shared" ref="M71:N71" si="142">IF(S71=0,0,(IF(S71&gt;6,6,(IF(S71&lt;1,1,S71)))))</f>
        <v>0</v>
      </c>
      <c r="N71" s="5">
        <f t="shared" si="142"/>
        <v>0</v>
      </c>
      <c r="O71" s="5">
        <f t="shared" si="126"/>
        <v>0</v>
      </c>
      <c r="P71" s="5"/>
      <c r="Q71" s="4">
        <f>IFERROR((VLOOKUP($BO$1&amp;C7,Teams!D:M,2,0)+AK71+AC71),0)</f>
        <v>0</v>
      </c>
      <c r="R71" s="4">
        <f>IFERROR((VLOOKUP($BO$1&amp;C7,Teams!D:M,3,0)+AL71+AD71),0)</f>
        <v>0</v>
      </c>
      <c r="S71" s="4">
        <f>IFERROR((VLOOKUP($BO$1&amp;C7,Teams!D:M,4,0)+AM71-AE71),0)</f>
        <v>0</v>
      </c>
      <c r="T71" s="4">
        <f>IFERROR((VLOOKUP($BO$1&amp;C7,Teams!D:M,5,0)+AN71-AF71),0)</f>
        <v>0</v>
      </c>
      <c r="U71" s="4">
        <f>IFERROR((VLOOKUP($BO$1&amp;C7,Teams!D:M,6,0)+AO71+AG71),0)</f>
        <v>0</v>
      </c>
      <c r="V71" s="5"/>
      <c r="W71" s="5">
        <f>IFERROR((VLOOKUP($BO$1&amp;C7,Teams!D:M,2,0)),0)</f>
        <v>0</v>
      </c>
      <c r="X71" s="5">
        <f>IFERROR((VLOOKUP($BO$1&amp;C7,Teams!D:M,3,0)),0)</f>
        <v>0</v>
      </c>
      <c r="Y71" s="5">
        <f>IFERROR((VLOOKUP($BO$1&amp;C7,Teams!D:M,4,0)),0)</f>
        <v>0</v>
      </c>
      <c r="Z71" s="5">
        <f>IFERROR((VLOOKUP($BO$1&amp;C7,Teams!D:M,5,0)),0)</f>
        <v>0</v>
      </c>
      <c r="AA71" s="5">
        <f>IFERROR((VLOOKUP($BO$1&amp;C7,Teams!D:M,6,0)),0)</f>
        <v>0</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8" t="s">
        <v>1217</v>
      </c>
      <c r="BE71" s="50">
        <f>IFERROR((IF(COUNTIF($BU$2,"*SylvanianSpotlight*"),130000,0)),0)</f>
        <v>0</v>
      </c>
      <c r="BF71" s="14"/>
      <c r="BG71" s="14"/>
      <c r="BH71" s="178" t="s">
        <v>1226</v>
      </c>
      <c r="BI71" s="50">
        <f>IFERROR((IF(COUNTIF($BU$2,"*SylvanianSpotlight*"),150000,0)),0)</f>
        <v>0</v>
      </c>
      <c r="BJ71" s="14"/>
      <c r="BK71" s="50"/>
      <c r="BL71" s="50"/>
      <c r="BM71" s="5"/>
      <c r="BN71" s="50"/>
      <c r="BO71" s="178"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7"/>
      <c r="CB71" s="207"/>
      <c r="CC71" s="205" t="str">
        <f>IF($J$24="Español","Forcejear",(IF($J$24="Deutsch","Ball entreißen",(IF($J$24="Français","Blocage","Dauntless")))))</f>
        <v>Dauntless</v>
      </c>
      <c r="CD71" s="207" t="s">
        <v>192</v>
      </c>
      <c r="CE71" s="202"/>
      <c r="CF71" s="207"/>
      <c r="CG71" s="207" t="str">
        <f t="shared" si="107"/>
        <v>Block</v>
      </c>
      <c r="CH71" s="207" t="str">
        <f t="shared" si="108"/>
        <v>Block</v>
      </c>
      <c r="CI71" s="5" t="str">
        <f t="shared" si="109"/>
        <v>Block</v>
      </c>
      <c r="CJ71" s="5" t="b">
        <f t="shared" si="110"/>
        <v>0</v>
      </c>
      <c r="CK71" s="5" t="b">
        <f t="shared" si="111"/>
        <v>0</v>
      </c>
      <c r="CL71" s="5" t="b">
        <f t="shared" si="112"/>
        <v>0</v>
      </c>
      <c r="CM71" s="5" t="b">
        <f t="shared" si="113"/>
        <v>0</v>
      </c>
      <c r="CN71" s="5" t="str">
        <f t="shared" si="114"/>
        <v>Block</v>
      </c>
      <c r="CO71" s="5" t="str">
        <f t="shared" si="115"/>
        <v>Block</v>
      </c>
      <c r="CP71" s="5" t="str">
        <f t="shared" si="116"/>
        <v>Block</v>
      </c>
      <c r="CQ71" s="5" t="str">
        <f t="shared" si="117"/>
        <v>Block</v>
      </c>
      <c r="CR71" s="5" t="str">
        <f t="shared" si="118"/>
        <v>Block</v>
      </c>
      <c r="CS71" s="5" t="str">
        <f t="shared" si="119"/>
        <v>Block</v>
      </c>
      <c r="CT71" s="5" t="str">
        <f t="shared" si="120"/>
        <v>Block</v>
      </c>
      <c r="CU71" s="5" t="str">
        <f t="shared" si="121"/>
        <v>Block</v>
      </c>
      <c r="CV71" s="5" t="b">
        <f t="shared" si="122"/>
        <v>0</v>
      </c>
      <c r="CW71" s="5"/>
      <c r="CX71" s="5"/>
      <c r="CY71" s="5"/>
      <c r="CZ71" s="5"/>
    </row>
    <row r="72" spans="1:104" ht="15" hidden="1" customHeight="1">
      <c r="A72" s="5"/>
      <c r="B72" s="357" t="str">
        <f>IF(AC37&lt;AI83,(IF(J24="Italiano","HAI SPESO TROPPO SPP!   ",IF(J24="Español","¡HAS GASTADO DEMASIADOS SPP!   ",(IF(J24="Deutsch","ZU VIEL AUSGEGEBEN SPP!   ",(IF(J24="Français","TU DÉPENSES TROP PSP!   ","YOU HAVE EXPENT TOO MUCH SPP!   "))))))),"")</f>
        <v/>
      </c>
      <c r="C72" s="356"/>
      <c r="D72" s="356"/>
      <c r="E72" s="356"/>
      <c r="F72" s="356"/>
      <c r="G72" s="5"/>
      <c r="H72" s="5"/>
      <c r="I72" s="5"/>
      <c r="J72" s="5"/>
      <c r="K72" s="5">
        <f t="shared" si="123"/>
        <v>0</v>
      </c>
      <c r="L72" s="5">
        <f t="shared" si="124"/>
        <v>0</v>
      </c>
      <c r="M72" s="5">
        <f t="shared" ref="M72:N72" si="143">IF(S72=0,0,(IF(S72&gt;6,6,(IF(S72&lt;1,1,S72)))))</f>
        <v>0</v>
      </c>
      <c r="N72" s="5">
        <f t="shared" si="143"/>
        <v>0</v>
      </c>
      <c r="O72" s="5">
        <f t="shared" si="126"/>
        <v>0</v>
      </c>
      <c r="P72" s="5"/>
      <c r="Q72" s="4">
        <f>IFERROR((VLOOKUP($BO$1&amp;C8,Teams!D:M,2,0)+AK72+AC72),0)</f>
        <v>0</v>
      </c>
      <c r="R72" s="4">
        <f>IFERROR((VLOOKUP($BO$1&amp;C8,Teams!D:M,3,0)+AL72+AD72),0)</f>
        <v>0</v>
      </c>
      <c r="S72" s="4">
        <f>IFERROR((VLOOKUP($BO$1&amp;C8,Teams!D:M,4,0)+AM72-AE72),0)</f>
        <v>0</v>
      </c>
      <c r="T72" s="4">
        <f>IFERROR((VLOOKUP($BO$1&amp;C8,Teams!D:M,5,0)+AN72-AF72),0)</f>
        <v>0</v>
      </c>
      <c r="U72" s="4">
        <f>IFERROR((VLOOKUP($BO$1&amp;C8,Teams!D:M,6,0)+AO72+AG72),0)</f>
        <v>0</v>
      </c>
      <c r="V72" s="5"/>
      <c r="W72" s="5">
        <f>IFERROR((VLOOKUP($BO$1&amp;C8,Teams!D:M,2,0)),0)</f>
        <v>0</v>
      </c>
      <c r="X72" s="5">
        <f>IFERROR((VLOOKUP($BO$1&amp;C8,Teams!D:M,3,0)),0)</f>
        <v>0</v>
      </c>
      <c r="Y72" s="5">
        <f>IFERROR((VLOOKUP($BO$1&amp;C8,Teams!D:M,4,0)),0)</f>
        <v>0</v>
      </c>
      <c r="Z72" s="5">
        <f>IFERROR((VLOOKUP($BO$1&amp;C8,Teams!D:M,5,0)),0)</f>
        <v>0</v>
      </c>
      <c r="AA72" s="5">
        <f>IFERROR((VLOOKUP($BO$1&amp;C8,Teams!D:M,6,0)),0)</f>
        <v>0</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8" t="s">
        <v>1218</v>
      </c>
      <c r="BE72" s="50">
        <f>IFERROR((IF(OR(COUNTIF($BU$2,"*BadlandsBrawl*"),COUNTIF($BU$2,"*OldWorldClassic*"),COUNTIF($BU$2,"*UnderworldChallenge*")),80000,0)),0)</f>
        <v>0</v>
      </c>
      <c r="BF72" s="14"/>
      <c r="BG72" s="14"/>
      <c r="BH72" s="49" t="str">
        <f>IF($J$24="Español","BRUJA MALVADA",(IF($J$24="Deutsch","VERRÜCKTE HEXE",(IF($J$24="Français","WICKED WITCH","WICKED WITCH")))))</f>
        <v>WICKED WITCH</v>
      </c>
      <c r="BI72" s="50">
        <f>IFERROR((IF(OR(COUNTIF($BU$2,"*OldWorldClassic*"),COUNTIF($BU$2,"*SylvanianSpotlight*"),COUNTIF($BU$2,"*UnderworldChallenge*")),150000,0)),0)</f>
        <v>0</v>
      </c>
      <c r="BJ72" s="14"/>
      <c r="BK72" s="50"/>
      <c r="BL72" s="50"/>
      <c r="BM72" s="5"/>
      <c r="BN72" s="50"/>
      <c r="BO72" s="178"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7"/>
      <c r="CB72" s="207"/>
      <c r="CC72" s="205" t="str">
        <f>IF($J$24="Español","Furia",(IF($J$24="Deutsch","Ballgefühl",(IF($J$24="Français","Frappe précise","Dirty Player (+1)")))))</f>
        <v>Dirty Player (+1)</v>
      </c>
      <c r="CD72" s="207" t="s">
        <v>192</v>
      </c>
      <c r="CE72" s="202"/>
      <c r="CF72" s="207"/>
      <c r="CG72" s="207" t="str">
        <f t="shared" si="107"/>
        <v>Dauntless</v>
      </c>
      <c r="CH72" s="207" t="str">
        <f t="shared" si="108"/>
        <v>Dauntless</v>
      </c>
      <c r="CI72" s="5" t="str">
        <f t="shared" si="109"/>
        <v>Dauntless</v>
      </c>
      <c r="CJ72" s="5" t="b">
        <f t="shared" si="110"/>
        <v>0</v>
      </c>
      <c r="CK72" s="5" t="b">
        <f t="shared" si="111"/>
        <v>0</v>
      </c>
      <c r="CL72" s="5" t="b">
        <f t="shared" si="112"/>
        <v>0</v>
      </c>
      <c r="CM72" s="5" t="b">
        <f t="shared" si="113"/>
        <v>0</v>
      </c>
      <c r="CN72" s="5" t="str">
        <f t="shared" si="114"/>
        <v>Dauntless</v>
      </c>
      <c r="CO72" s="5" t="str">
        <f t="shared" si="115"/>
        <v>Dauntless</v>
      </c>
      <c r="CP72" s="5" t="str">
        <f t="shared" si="116"/>
        <v>Dauntless</v>
      </c>
      <c r="CQ72" s="5" t="str">
        <f t="shared" si="117"/>
        <v>Dauntless</v>
      </c>
      <c r="CR72" s="5" t="str">
        <f t="shared" si="118"/>
        <v>Dauntless</v>
      </c>
      <c r="CS72" s="5" t="str">
        <f t="shared" si="119"/>
        <v>Dauntless</v>
      </c>
      <c r="CT72" s="5" t="str">
        <f t="shared" si="120"/>
        <v>Dauntless</v>
      </c>
      <c r="CU72" s="5" t="str">
        <f t="shared" si="121"/>
        <v>Dauntless</v>
      </c>
      <c r="CV72" s="5" t="b">
        <f t="shared" si="122"/>
        <v>0</v>
      </c>
      <c r="CW72" s="5"/>
      <c r="CX72" s="5"/>
      <c r="CY72" s="5"/>
      <c r="CZ72" s="5"/>
    </row>
    <row r="73" spans="1:104" ht="15" hidden="1" customHeight="1">
      <c r="A73" s="5"/>
      <c r="B73" s="357"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356"/>
      <c r="D73" s="356"/>
      <c r="E73" s="356"/>
      <c r="F73" s="356"/>
      <c r="G73" s="5"/>
      <c r="H73" s="5"/>
      <c r="I73" s="5"/>
      <c r="J73" s="5"/>
      <c r="K73" s="5">
        <f t="shared" si="123"/>
        <v>6</v>
      </c>
      <c r="L73" s="5">
        <f t="shared" si="124"/>
        <v>3</v>
      </c>
      <c r="M73" s="5">
        <f t="shared" ref="M73:N73" si="144">IF(S73=0,0,(IF(S73&gt;6,6,(IF(S73&lt;1,1,S73)))))</f>
        <v>2</v>
      </c>
      <c r="N73" s="5">
        <f t="shared" si="144"/>
        <v>4</v>
      </c>
      <c r="O73" s="5">
        <f t="shared" si="126"/>
        <v>9</v>
      </c>
      <c r="P73" s="5"/>
      <c r="Q73" s="4">
        <f>IFERROR((VLOOKUP($BO$1&amp;C9,Teams!D:M,2,0)+AK73+AC73),0)</f>
        <v>6</v>
      </c>
      <c r="R73" s="4">
        <f>IFERROR((VLOOKUP($BO$1&amp;C9,Teams!D:M,3,0)+AL73+AD73),0)</f>
        <v>3</v>
      </c>
      <c r="S73" s="4">
        <f>IFERROR((VLOOKUP($BO$1&amp;C9,Teams!D:M,4,0)+AM73-AE73),0)</f>
        <v>2</v>
      </c>
      <c r="T73" s="4">
        <f>IFERROR((VLOOKUP($BO$1&amp;C9,Teams!D:M,5,0)+AN73-AF73),0)</f>
        <v>4</v>
      </c>
      <c r="U73" s="4">
        <f>IFERROR((VLOOKUP($BO$1&amp;C9,Teams!D:M,6,0)+AO73+AG73),0)</f>
        <v>9</v>
      </c>
      <c r="V73" s="5"/>
      <c r="W73" s="5">
        <f>IFERROR((VLOOKUP($BO$1&amp;C9,Teams!D:M,2,0)),0)</f>
        <v>6</v>
      </c>
      <c r="X73" s="5">
        <f>IFERROR((VLOOKUP($BO$1&amp;C9,Teams!D:M,3,0)),0)</f>
        <v>3</v>
      </c>
      <c r="Y73" s="5">
        <f>IFERROR((VLOOKUP($BO$1&amp;C9,Teams!D:M,4,0)),0)</f>
        <v>2</v>
      </c>
      <c r="Z73" s="5">
        <f>IFERROR((VLOOKUP($BO$1&amp;C9,Teams!D:M,5,0)),0)</f>
        <v>4</v>
      </c>
      <c r="AA73" s="5">
        <f>IFERROR((VLOOKUP($BO$1&amp;C9,Teams!D:M,6,0)),0)</f>
        <v>9</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8" t="s">
        <v>1219</v>
      </c>
      <c r="BE73" s="50">
        <f>IFERROR((IF(OR(COUNTIF($BU$2,"*BadlandsBrawl*"),COUNTIF($BU$2,"*UnderworldChallenge*")),90000,0)),0)</f>
        <v>0</v>
      </c>
      <c r="BF73" s="14"/>
      <c r="BG73" s="14"/>
      <c r="BH73" s="178" t="s">
        <v>1227</v>
      </c>
      <c r="BI73" s="50">
        <f>IFERROR((IF(OR(COUNTIF($BU$2,"*UnderworldChallenge*")),150000,0)),0)</f>
        <v>0</v>
      </c>
      <c r="BJ73" s="14"/>
      <c r="BK73" s="5"/>
      <c r="BL73" s="14"/>
      <c r="BM73" s="5"/>
      <c r="BN73" s="5"/>
      <c r="BO73" s="49" t="str">
        <f>IF($J$24="Español","TOTEM DEL CAOS","CHAOS TOTEM")</f>
        <v>CHAOS TOTEM</v>
      </c>
      <c r="BP73" s="50">
        <v>50000</v>
      </c>
      <c r="BQ73" s="14"/>
      <c r="BR73" s="14"/>
      <c r="BS73" s="180" t="str">
        <f>IF($J$24="Español","Forcejear",(IF($J$24="Deutsch","Ball entreißen",(IF($J$24="Français","Blocage","Dauntless")))))</f>
        <v>Dauntless</v>
      </c>
      <c r="BT73" s="161" t="s">
        <v>192</v>
      </c>
      <c r="BU73" s="180" t="str">
        <f>IF($J$24="Español","Forcejear",(IF($J$24="Deutsch","Ball entreißen",(IF($J$24="Français","Blocage","Dauntless")))))</f>
        <v>Dauntless</v>
      </c>
      <c r="BV73" s="161" t="s">
        <v>192</v>
      </c>
      <c r="BW73" s="180" t="str">
        <f>IF($J$24="Español","Forcejear",(IF($J$24="Deutsch","Ball entreißen",(IF($J$24="Français","Blocage","Dauntless")))))</f>
        <v>Dauntless</v>
      </c>
      <c r="BX73" s="161" t="s">
        <v>192</v>
      </c>
      <c r="BY73" s="205" t="str">
        <f>IF($J$24="Español","Forcejear",(IF($J$24="Deutsch","Ball entreißen",(IF($J$24="Français","Blocage","Dauntless")))))</f>
        <v>Dauntless</v>
      </c>
      <c r="BZ73" s="161" t="s">
        <v>192</v>
      </c>
      <c r="CA73" s="207"/>
      <c r="CB73" s="207"/>
      <c r="CC73" s="205" t="str">
        <f>IF($J$24="Español","Juego Sucio (+1)",(IF($J$24="Deutsch","Block",(IF($J$24="Français","Frénésie ","Fend")))))</f>
        <v>Fend</v>
      </c>
      <c r="CD73" s="207" t="s">
        <v>192</v>
      </c>
      <c r="CE73" s="202"/>
      <c r="CF73" s="207"/>
      <c r="CG73" s="207" t="str">
        <f t="shared" si="107"/>
        <v>Dirty Player (+1)</v>
      </c>
      <c r="CH73" s="207" t="str">
        <f t="shared" si="108"/>
        <v>Dirty Player (+1)</v>
      </c>
      <c r="CI73" s="5" t="str">
        <f t="shared" si="109"/>
        <v>Dirty Player (+1)</v>
      </c>
      <c r="CJ73" s="5" t="b">
        <f t="shared" si="110"/>
        <v>0</v>
      </c>
      <c r="CK73" s="5" t="b">
        <f t="shared" si="111"/>
        <v>0</v>
      </c>
      <c r="CL73" s="5" t="b">
        <f t="shared" si="112"/>
        <v>0</v>
      </c>
      <c r="CM73" s="5" t="b">
        <f t="shared" si="113"/>
        <v>0</v>
      </c>
      <c r="CN73" s="5" t="str">
        <f t="shared" si="114"/>
        <v>Dirty Player (+1)</v>
      </c>
      <c r="CO73" s="5" t="str">
        <f t="shared" si="115"/>
        <v>Dirty Player (+1)</v>
      </c>
      <c r="CP73" s="5" t="str">
        <f t="shared" si="116"/>
        <v>Dirty Player (+1)</v>
      </c>
      <c r="CQ73" s="5" t="str">
        <f t="shared" si="117"/>
        <v>Dirty Player (+1)</v>
      </c>
      <c r="CR73" s="5" t="str">
        <f t="shared" si="118"/>
        <v>Dirty Player (+1)</v>
      </c>
      <c r="CS73" s="5" t="str">
        <f t="shared" si="119"/>
        <v>Dirty Player (+1)</v>
      </c>
      <c r="CT73" s="5" t="str">
        <f t="shared" si="120"/>
        <v>Dirty Player (+1)</v>
      </c>
      <c r="CU73" s="5" t="str">
        <f t="shared" si="121"/>
        <v>Dirty Player (+1)</v>
      </c>
      <c r="CV73" s="5" t="b">
        <f t="shared" si="122"/>
        <v>0</v>
      </c>
      <c r="CW73" s="5"/>
      <c r="CX73" s="5"/>
      <c r="CY73" s="5"/>
      <c r="CZ73" s="5"/>
    </row>
    <row r="74" spans="1:104" ht="15" hidden="1" customHeight="1">
      <c r="A74" s="5"/>
      <c r="B74" s="41"/>
      <c r="C74" s="41"/>
      <c r="D74" s="41"/>
      <c r="E74" s="41"/>
      <c r="F74" s="41"/>
      <c r="G74" s="5"/>
      <c r="H74" s="5"/>
      <c r="I74" s="5"/>
      <c r="J74" s="5"/>
      <c r="K74" s="5">
        <f t="shared" si="123"/>
        <v>6</v>
      </c>
      <c r="L74" s="5">
        <f t="shared" si="124"/>
        <v>3</v>
      </c>
      <c r="M74" s="5">
        <f t="shared" ref="M74:N74" si="145">IF(S74=0,0,(IF(S74&gt;6,6,(IF(S74&lt;1,1,S74)))))</f>
        <v>2</v>
      </c>
      <c r="N74" s="5">
        <f t="shared" si="145"/>
        <v>4</v>
      </c>
      <c r="O74" s="5">
        <f t="shared" si="126"/>
        <v>9</v>
      </c>
      <c r="P74" s="5"/>
      <c r="Q74" s="4">
        <f>IFERROR((VLOOKUP($BO$1&amp;C10,Teams!D:M,2,0)+AK74+AC74),0)</f>
        <v>6</v>
      </c>
      <c r="R74" s="4">
        <f>IFERROR((VLOOKUP($BO$1&amp;C10,Teams!D:M,3,0)+AL74+AD74),0)</f>
        <v>3</v>
      </c>
      <c r="S74" s="4">
        <f>IFERROR((VLOOKUP($BO$1&amp;C10,Teams!D:M,4,0)+AM74-AE74),0)</f>
        <v>2</v>
      </c>
      <c r="T74" s="4">
        <f>IFERROR((VLOOKUP($BO$1&amp;C10,Teams!D:M,5,0)+AN74-AF74),0)</f>
        <v>4</v>
      </c>
      <c r="U74" s="4">
        <f>IFERROR((VLOOKUP($BO$1&amp;C10,Teams!D:M,6,0)+AO74+AG74),0)</f>
        <v>9</v>
      </c>
      <c r="V74" s="5"/>
      <c r="W74" s="5">
        <f>IFERROR((VLOOKUP($BO$1&amp;C10,Teams!D:M,2,0)),0)</f>
        <v>6</v>
      </c>
      <c r="X74" s="5">
        <f>IFERROR((VLOOKUP($BO$1&amp;C10,Teams!D:M,3,0)),0)</f>
        <v>3</v>
      </c>
      <c r="Y74" s="5">
        <f>IFERROR((VLOOKUP($BO$1&amp;C10,Teams!D:M,4,0)),0)</f>
        <v>2</v>
      </c>
      <c r="Z74" s="5">
        <f>IFERROR((VLOOKUP($BO$1&amp;C10,Teams!D:M,5,0)),0)</f>
        <v>4</v>
      </c>
      <c r="AA74" s="5">
        <f>IFERROR((VLOOKUP($BO$1&amp;C10,Teams!D:M,6,0)),0)</f>
        <v>9</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8" t="s">
        <v>1220</v>
      </c>
      <c r="BE74" s="50">
        <v>90000</v>
      </c>
      <c r="BF74" s="14"/>
      <c r="BG74" s="14"/>
      <c r="BH74" s="178" t="s">
        <v>1228</v>
      </c>
      <c r="BI74" s="50">
        <f>IFERROR((IF(OR(COUNTIF($BU$2,"*BadlandsBrawl*")),150000,0)),0)</f>
        <v>0</v>
      </c>
      <c r="BJ74" s="14"/>
      <c r="BK74" s="5"/>
      <c r="BL74" s="14"/>
      <c r="BM74" s="5"/>
      <c r="BN74" s="5"/>
      <c r="BO74" s="5"/>
      <c r="BP74" s="14"/>
      <c r="BQ74" s="14"/>
      <c r="BR74" s="14"/>
      <c r="BS74" s="180" t="str">
        <f>IF($J$24="Español","Furia",(IF($J$24="Deutsch","Ballgefühl",(IF($J$24="Français","Frappe précise","Dirty Player (+1)")))))</f>
        <v>Dirty Player (+1)</v>
      </c>
      <c r="BT74" s="161" t="s">
        <v>192</v>
      </c>
      <c r="BU74" s="180" t="str">
        <f>IF($J$24="Español","Furia",(IF($J$24="Deutsch","Ballgefühl",(IF($J$24="Français","Frappe précise","Dirty Player (+1)")))))</f>
        <v>Dirty Player (+1)</v>
      </c>
      <c r="BV74" s="161" t="s">
        <v>192</v>
      </c>
      <c r="BW74" s="180" t="str">
        <f>IF($J$24="Español","Furia",(IF($J$24="Deutsch","Ballgefühl",(IF($J$24="Français","Frappe précise","Dirty Player (+1)")))))</f>
        <v>Dirty Player (+1)</v>
      </c>
      <c r="BX74" s="161" t="s">
        <v>192</v>
      </c>
      <c r="BY74" s="205" t="str">
        <f>IF($J$24="Español","Furia",(IF($J$24="Deutsch","Ballgefühl",(IF($J$24="Français","Frappe précise","Dirty Player (+1)")))))</f>
        <v>Dirty Player (+1)</v>
      </c>
      <c r="BZ74" s="161" t="s">
        <v>192</v>
      </c>
      <c r="CA74" s="207"/>
      <c r="CB74" s="207"/>
      <c r="CC74" s="205" t="str">
        <f>IF($J$24="Español","Manos Seguras",(IF($J$24="Deutsch","Brutal (+1)",(IF($J$24="Français","Intrépide","Frenzy")))))</f>
        <v>Frenzy</v>
      </c>
      <c r="CD74" s="207" t="s">
        <v>192</v>
      </c>
      <c r="CE74" s="202"/>
      <c r="CF74" s="207"/>
      <c r="CG74" s="207" t="str">
        <f t="shared" si="107"/>
        <v>Fend</v>
      </c>
      <c r="CH74" s="207" t="str">
        <f t="shared" si="108"/>
        <v>Fend</v>
      </c>
      <c r="CI74" s="5" t="str">
        <f t="shared" si="109"/>
        <v>Fend</v>
      </c>
      <c r="CJ74" s="5" t="b">
        <f t="shared" si="110"/>
        <v>0</v>
      </c>
      <c r="CK74" s="5" t="b">
        <f t="shared" si="111"/>
        <v>0</v>
      </c>
      <c r="CL74" s="5" t="b">
        <f t="shared" si="112"/>
        <v>0</v>
      </c>
      <c r="CM74" s="5" t="b">
        <f t="shared" si="113"/>
        <v>0</v>
      </c>
      <c r="CN74" s="5" t="str">
        <f t="shared" si="114"/>
        <v>Fend</v>
      </c>
      <c r="CO74" s="5" t="str">
        <f t="shared" si="115"/>
        <v>Fend</v>
      </c>
      <c r="CP74" s="5" t="str">
        <f t="shared" si="116"/>
        <v>Fend</v>
      </c>
      <c r="CQ74" s="5" t="str">
        <f t="shared" si="117"/>
        <v>Fend</v>
      </c>
      <c r="CR74" s="5" t="str">
        <f t="shared" si="118"/>
        <v>Fend</v>
      </c>
      <c r="CS74" s="5" t="str">
        <f t="shared" si="119"/>
        <v>Fend</v>
      </c>
      <c r="CT74" s="5" t="str">
        <f t="shared" si="120"/>
        <v>Fend</v>
      </c>
      <c r="CU74" s="5" t="str">
        <f t="shared" si="121"/>
        <v>Fend</v>
      </c>
      <c r="CV74" s="5" t="b">
        <f t="shared" si="122"/>
        <v>0</v>
      </c>
      <c r="CW74" s="5"/>
      <c r="CX74" s="5"/>
      <c r="CY74" s="5"/>
      <c r="CZ74" s="5"/>
    </row>
    <row r="75" spans="1:104" ht="15" hidden="1" customHeight="1">
      <c r="A75" s="5"/>
      <c r="B75" s="5"/>
      <c r="C75" s="41"/>
      <c r="D75" s="41"/>
      <c r="E75" s="41"/>
      <c r="F75" s="41"/>
      <c r="G75" s="5"/>
      <c r="H75" s="5"/>
      <c r="I75" s="5"/>
      <c r="J75" s="5"/>
      <c r="K75" s="5">
        <f t="shared" si="123"/>
        <v>6</v>
      </c>
      <c r="L75" s="5">
        <f t="shared" si="124"/>
        <v>3</v>
      </c>
      <c r="M75" s="5">
        <f t="shared" ref="M75:N75" si="146">IF(S75=0,0,(IF(S75&gt;6,6,(IF(S75&lt;1,1,S75)))))</f>
        <v>2</v>
      </c>
      <c r="N75" s="5">
        <f t="shared" si="146"/>
        <v>4</v>
      </c>
      <c r="O75" s="5">
        <f t="shared" si="126"/>
        <v>9</v>
      </c>
      <c r="P75" s="5"/>
      <c r="Q75" s="4">
        <f>IFERROR((VLOOKUP($BO$1&amp;C11,Teams!D:M,2,0)+AK75+AC75),0)</f>
        <v>6</v>
      </c>
      <c r="R75" s="4">
        <f>IFERROR((VLOOKUP($BO$1&amp;C11,Teams!D:M,3,0)+AL75+AD75),0)</f>
        <v>3</v>
      </c>
      <c r="S75" s="4">
        <f>IFERROR((VLOOKUP($BO$1&amp;C11,Teams!D:M,4,0)+AM75-AE75),0)</f>
        <v>2</v>
      </c>
      <c r="T75" s="4">
        <f>IFERROR((VLOOKUP($BO$1&amp;C11,Teams!D:M,5,0)+AN75-AF75),0)</f>
        <v>4</v>
      </c>
      <c r="U75" s="4">
        <f>IFERROR((VLOOKUP($BO$1&amp;C11,Teams!D:M,6,0)+AO75+AG75),0)</f>
        <v>9</v>
      </c>
      <c r="V75" s="5"/>
      <c r="W75" s="5">
        <f>IFERROR((VLOOKUP($BO$1&amp;C11,Teams!D:M,2,0)),0)</f>
        <v>6</v>
      </c>
      <c r="X75" s="5">
        <f>IFERROR((VLOOKUP($BO$1&amp;C11,Teams!D:M,3,0)),0)</f>
        <v>3</v>
      </c>
      <c r="Y75" s="5">
        <f>IFERROR((VLOOKUP($BO$1&amp;C11,Teams!D:M,4,0)),0)</f>
        <v>2</v>
      </c>
      <c r="Z75" s="5">
        <f>IFERROR((VLOOKUP($BO$1&amp;C11,Teams!D:M,5,0)),0)</f>
        <v>4</v>
      </c>
      <c r="AA75" s="5">
        <f>IFERROR((VLOOKUP($BO$1&amp;C11,Teams!D:M,6,0)),0)</f>
        <v>9</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8" t="s">
        <v>1229</v>
      </c>
      <c r="BI75" s="50">
        <f>IFERROR((IF(OR(COUNTIF($BU$2,"*BadlandsBrawl*"),COUNTIF($BU$2,"*UnderworldChallenge*")),150000,0)),0)</f>
        <v>0</v>
      </c>
      <c r="BJ75" s="14"/>
      <c r="BK75" s="5"/>
      <c r="BL75" s="14"/>
      <c r="BM75" s="5"/>
      <c r="BN75" s="5"/>
      <c r="BO75" s="5"/>
      <c r="BP75" s="14"/>
      <c r="BQ75" s="14"/>
      <c r="BR75" s="14"/>
      <c r="BS75" s="180" t="str">
        <f>IF($J$24="Español","Juego Sucio (+1)",(IF($J$24="Deutsch","Block",(IF($J$24="Français","Frénésie ","Fend")))))</f>
        <v>Fend</v>
      </c>
      <c r="BT75" s="161" t="s">
        <v>192</v>
      </c>
      <c r="BU75" s="180" t="str">
        <f>IF($J$24="Español","Juego Sucio (+1)",(IF($J$24="Deutsch","Block",(IF($J$24="Français","Frénésie ","Fend")))))</f>
        <v>Fend</v>
      </c>
      <c r="BV75" s="161" t="s">
        <v>192</v>
      </c>
      <c r="BW75" s="180" t="str">
        <f>IF($J$24="Español","Juego Sucio (+1)",(IF($J$24="Deutsch","Block",(IF($J$24="Français","Frénésie ","Fend")))))</f>
        <v>Fend</v>
      </c>
      <c r="BX75" s="161" t="s">
        <v>192</v>
      </c>
      <c r="BY75" s="205" t="str">
        <f>IF($J$24="Español","Juego Sucio (+1)",(IF($J$24="Deutsch","Block",(IF($J$24="Français","Frénésie ","Fend")))))</f>
        <v>Fend</v>
      </c>
      <c r="BZ75" s="161" t="s">
        <v>192</v>
      </c>
      <c r="CA75" s="207"/>
      <c r="CB75" s="207"/>
      <c r="CC75" s="205" t="str">
        <f>IF($J$24="Español","Patada",(IF($J$24="Deutsch","Kicken",(IF($J$24="Français","Joueur Déloyal (+1)","Kick")))))</f>
        <v>Kick</v>
      </c>
      <c r="CD75" s="207" t="s">
        <v>192</v>
      </c>
      <c r="CE75" s="202"/>
      <c r="CF75" s="207"/>
      <c r="CG75" s="207" t="str">
        <f t="shared" si="107"/>
        <v>Frenzy</v>
      </c>
      <c r="CH75" s="207" t="str">
        <f t="shared" si="108"/>
        <v>Frenzy</v>
      </c>
      <c r="CI75" s="5" t="str">
        <f t="shared" si="109"/>
        <v>Frenzy</v>
      </c>
      <c r="CJ75" s="5" t="b">
        <f t="shared" si="110"/>
        <v>0</v>
      </c>
      <c r="CK75" s="5" t="b">
        <f t="shared" si="111"/>
        <v>0</v>
      </c>
      <c r="CL75" s="5" t="b">
        <f t="shared" si="112"/>
        <v>0</v>
      </c>
      <c r="CM75" s="5" t="b">
        <f t="shared" si="113"/>
        <v>0</v>
      </c>
      <c r="CN75" s="5" t="str">
        <f t="shared" si="114"/>
        <v>Frenzy</v>
      </c>
      <c r="CO75" s="5" t="str">
        <f t="shared" si="115"/>
        <v>Frenzy</v>
      </c>
      <c r="CP75" s="5" t="str">
        <f t="shared" si="116"/>
        <v>Frenzy</v>
      </c>
      <c r="CQ75" s="5" t="str">
        <f t="shared" si="117"/>
        <v>Frenzy</v>
      </c>
      <c r="CR75" s="5" t="str">
        <f t="shared" si="118"/>
        <v>Frenzy</v>
      </c>
      <c r="CS75" s="5" t="str">
        <f t="shared" si="119"/>
        <v>Frenzy</v>
      </c>
      <c r="CT75" s="5" t="str">
        <f t="shared" si="120"/>
        <v>Frenzy</v>
      </c>
      <c r="CU75" s="5" t="str">
        <f t="shared" si="121"/>
        <v>Frenzy</v>
      </c>
      <c r="CV75" s="5" t="b">
        <f t="shared" si="122"/>
        <v>0</v>
      </c>
      <c r="CW75" s="5"/>
      <c r="CX75" s="5"/>
      <c r="CY75" s="5"/>
      <c r="CZ75" s="5"/>
    </row>
    <row r="76" spans="1:104" ht="15" hidden="1" customHeight="1">
      <c r="A76" s="5"/>
      <c r="B76" s="41"/>
      <c r="C76" s="41"/>
      <c r="D76" s="41"/>
      <c r="E76" s="41"/>
      <c r="F76" s="41"/>
      <c r="G76" s="5"/>
      <c r="H76" s="5"/>
      <c r="I76" s="5"/>
      <c r="J76" s="5"/>
      <c r="K76" s="5">
        <f t="shared" si="123"/>
        <v>6</v>
      </c>
      <c r="L76" s="5">
        <f t="shared" si="124"/>
        <v>3</v>
      </c>
      <c r="M76" s="5">
        <f t="shared" ref="M76:N76" si="147">IF(S76=0,0,(IF(S76&gt;6,6,(IF(S76&lt;1,1,S76)))))</f>
        <v>2</v>
      </c>
      <c r="N76" s="5">
        <f t="shared" si="147"/>
        <v>4</v>
      </c>
      <c r="O76" s="5">
        <f t="shared" si="126"/>
        <v>9</v>
      </c>
      <c r="P76" s="5"/>
      <c r="Q76" s="4">
        <f>IFERROR((VLOOKUP($BO$1&amp;C12,Teams!D:M,2,0)+AK76+AC76),0)</f>
        <v>6</v>
      </c>
      <c r="R76" s="4">
        <f>IFERROR((VLOOKUP($BO$1&amp;C12,Teams!D:M,3,0)+AL76+AD76),0)</f>
        <v>3</v>
      </c>
      <c r="S76" s="4">
        <f>IFERROR((VLOOKUP($BO$1&amp;C12,Teams!D:M,4,0)+AM76-AE76),0)</f>
        <v>2</v>
      </c>
      <c r="T76" s="4">
        <f>IFERROR((VLOOKUP($BO$1&amp;C12,Teams!D:M,5,0)+AN76-AF76),0)</f>
        <v>4</v>
      </c>
      <c r="U76" s="4">
        <f>IFERROR((VLOOKUP($BO$1&amp;C12,Teams!D:M,6,0)+AO76+AG76),0)</f>
        <v>9</v>
      </c>
      <c r="V76" s="5"/>
      <c r="W76" s="5">
        <f>IFERROR((VLOOKUP($BO$1&amp;C12,Teams!D:M,2,0)),0)</f>
        <v>6</v>
      </c>
      <c r="X76" s="5">
        <f>IFERROR((VLOOKUP($BO$1&amp;C12,Teams!D:M,3,0)),0)</f>
        <v>3</v>
      </c>
      <c r="Y76" s="5">
        <f>IFERROR((VLOOKUP($BO$1&amp;C12,Teams!D:M,4,0)),0)</f>
        <v>2</v>
      </c>
      <c r="Z76" s="5">
        <f>IFERROR((VLOOKUP($BO$1&amp;C12,Teams!D:M,5,0)),0)</f>
        <v>4</v>
      </c>
      <c r="AA76" s="5">
        <f>IFERROR((VLOOKUP($BO$1&amp;C12,Teams!D:M,6,0)),0)</f>
        <v>9</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8" t="s">
        <v>1230</v>
      </c>
      <c r="BI76" s="50">
        <v>80000</v>
      </c>
      <c r="BJ76" s="14"/>
      <c r="BK76" s="5"/>
      <c r="BL76" s="14"/>
      <c r="BM76" s="5"/>
      <c r="BN76" s="5"/>
      <c r="BO76" s="5"/>
      <c r="BP76" s="14"/>
      <c r="BQ76" s="14"/>
      <c r="BR76" s="14"/>
      <c r="BS76" s="180" t="str">
        <f>IF($J$24="Español","Manos Seguras",(IF($J$24="Deutsch","Brutal (+1)",(IF($J$24="Français","Intrépide","Frenzy")))))</f>
        <v>Frenzy</v>
      </c>
      <c r="BT76" s="161" t="s">
        <v>192</v>
      </c>
      <c r="BU76" s="180" t="str">
        <f>IF($J$24="Español","Manos Seguras",(IF($J$24="Deutsch","Brutal (+1)",(IF($J$24="Français","Intrépide","Frenzy")))))</f>
        <v>Frenzy</v>
      </c>
      <c r="BV76" s="161" t="s">
        <v>192</v>
      </c>
      <c r="BW76" s="180" t="str">
        <f>IF($J$24="Español","Manos Seguras",(IF($J$24="Deutsch","Brutal (+1)",(IF($J$24="Français","Intrépide","Frenzy")))))</f>
        <v>Frenzy</v>
      </c>
      <c r="BX76" s="161" t="s">
        <v>192</v>
      </c>
      <c r="BY76" s="205" t="str">
        <f>IF($J$24="Español","Manos Seguras",(IF($J$24="Deutsch","Brutal (+1)",(IF($J$24="Français","Intrépide","Frenzy")))))</f>
        <v>Frenzy</v>
      </c>
      <c r="BZ76" s="161" t="s">
        <v>192</v>
      </c>
      <c r="CA76" s="60"/>
      <c r="CB76" s="4"/>
      <c r="CC76" s="205" t="str">
        <f>IF($J$24="Español","Perseguir",(IF($J$24="Deutsch","Manndeckung",(IF($J$24="Français","Lutte","Pro")))))</f>
        <v>Pro</v>
      </c>
      <c r="CD76" s="207" t="s">
        <v>192</v>
      </c>
      <c r="CE76" s="202"/>
      <c r="CF76" s="207"/>
      <c r="CG76" s="207" t="str">
        <f t="shared" si="107"/>
        <v>Kick</v>
      </c>
      <c r="CH76" s="207" t="str">
        <f t="shared" si="108"/>
        <v>Kick</v>
      </c>
      <c r="CI76" s="5" t="str">
        <f t="shared" si="109"/>
        <v>Kick</v>
      </c>
      <c r="CJ76" s="5" t="b">
        <f t="shared" si="110"/>
        <v>0</v>
      </c>
      <c r="CK76" s="5" t="b">
        <f t="shared" si="111"/>
        <v>0</v>
      </c>
      <c r="CL76" s="5" t="b">
        <f t="shared" si="112"/>
        <v>0</v>
      </c>
      <c r="CM76" s="5" t="b">
        <f t="shared" si="113"/>
        <v>0</v>
      </c>
      <c r="CN76" s="5" t="str">
        <f t="shared" si="114"/>
        <v>Kick</v>
      </c>
      <c r="CO76" s="5" t="str">
        <f t="shared" si="115"/>
        <v>Kick</v>
      </c>
      <c r="CP76" s="5" t="str">
        <f t="shared" si="116"/>
        <v>Kick</v>
      </c>
      <c r="CQ76" s="5" t="str">
        <f t="shared" si="117"/>
        <v>Kick</v>
      </c>
      <c r="CR76" s="5" t="str">
        <f t="shared" si="118"/>
        <v>Kick</v>
      </c>
      <c r="CS76" s="5" t="str">
        <f t="shared" si="119"/>
        <v>Kick</v>
      </c>
      <c r="CT76" s="5" t="str">
        <f t="shared" si="120"/>
        <v>Kick</v>
      </c>
      <c r="CU76" s="5" t="str">
        <f t="shared" si="121"/>
        <v>Kick</v>
      </c>
      <c r="CV76" s="5" t="b">
        <f t="shared" si="122"/>
        <v>0</v>
      </c>
      <c r="CW76" s="5"/>
      <c r="CX76" s="5"/>
      <c r="CY76" s="5"/>
      <c r="CZ76" s="5"/>
    </row>
    <row r="77" spans="1:104" ht="15" hidden="1" customHeight="1">
      <c r="A77" s="5"/>
      <c r="B77" s="57"/>
      <c r="C77" s="57"/>
      <c r="D77" s="57"/>
      <c r="E77" s="57"/>
      <c r="F77" s="57"/>
      <c r="G77" s="5"/>
      <c r="H77" s="5"/>
      <c r="I77" s="5"/>
      <c r="J77" s="5"/>
      <c r="K77" s="5">
        <f t="shared" si="123"/>
        <v>6</v>
      </c>
      <c r="L77" s="5">
        <f t="shared" si="124"/>
        <v>3</v>
      </c>
      <c r="M77" s="5">
        <f t="shared" ref="M77:N77" si="148">IF(S77=0,0,(IF(S77&gt;6,6,(IF(S77&lt;1,1,S77)))))</f>
        <v>2</v>
      </c>
      <c r="N77" s="5">
        <f t="shared" si="148"/>
        <v>4</v>
      </c>
      <c r="O77" s="5">
        <f t="shared" si="126"/>
        <v>9</v>
      </c>
      <c r="P77" s="5"/>
      <c r="Q77" s="4">
        <f>IFERROR((VLOOKUP($BO$1&amp;C13,Teams!D:M,2,0)+AK77+AC77),0)</f>
        <v>6</v>
      </c>
      <c r="R77" s="4">
        <f>IFERROR((VLOOKUP($BO$1&amp;C13,Teams!D:M,3,0)+AL77+AD77),0)</f>
        <v>3</v>
      </c>
      <c r="S77" s="4">
        <f>IFERROR((VLOOKUP($BO$1&amp;C13,Teams!D:M,4,0)+AM77-AE77),0)</f>
        <v>2</v>
      </c>
      <c r="T77" s="4">
        <f>IFERROR((VLOOKUP($BO$1&amp;C13,Teams!D:M,5,0)+AN77-AF77),0)</f>
        <v>4</v>
      </c>
      <c r="U77" s="4">
        <f>IFERROR((VLOOKUP($BO$1&amp;C13,Teams!D:M,6,0)+AO77+AG77),0)</f>
        <v>9</v>
      </c>
      <c r="V77" s="5"/>
      <c r="W77" s="5">
        <f>IFERROR((VLOOKUP($BO$1&amp;C13,Teams!D:M,2,0)),0)</f>
        <v>6</v>
      </c>
      <c r="X77" s="5">
        <f>IFERROR((VLOOKUP($BO$1&amp;C13,Teams!D:M,3,0)),0)</f>
        <v>3</v>
      </c>
      <c r="Y77" s="5">
        <f>IFERROR((VLOOKUP($BO$1&amp;C13,Teams!D:M,4,0)),0)</f>
        <v>2</v>
      </c>
      <c r="Z77" s="5">
        <f>IFERROR((VLOOKUP($BO$1&amp;C13,Teams!D:M,5,0)),0)</f>
        <v>4</v>
      </c>
      <c r="AA77" s="5">
        <f>IFERROR((VLOOKUP($BO$1&amp;C13,Teams!D:M,6,0)),0)</f>
        <v>9</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0</v>
      </c>
      <c r="BB77" s="5"/>
      <c r="BC77" s="5"/>
      <c r="BD77" s="5"/>
      <c r="BE77" s="5"/>
      <c r="BF77" s="14"/>
      <c r="BG77" s="14"/>
      <c r="BH77" s="14"/>
      <c r="BI77" s="5"/>
      <c r="BJ77" s="14"/>
      <c r="BK77" s="5"/>
      <c r="BL77" s="14"/>
      <c r="BM77" s="5"/>
      <c r="BN77" s="5"/>
      <c r="BO77" s="5"/>
      <c r="BP77" s="14"/>
      <c r="BQ77" s="14"/>
      <c r="BR77" s="14"/>
      <c r="BS77" s="180" t="str">
        <f>IF($J$24="Español","Patada",(IF($J$24="Deutsch","Kicken",(IF($J$24="Français","Joueur Déloyal (+1)","Kick")))))</f>
        <v>Kick</v>
      </c>
      <c r="BT77" s="161" t="s">
        <v>192</v>
      </c>
      <c r="BU77" s="180" t="str">
        <f>IF($J$24="Español","Patada",(IF($J$24="Deutsch","Kicken",(IF($J$24="Français","Joueur Déloyal (+1)","Kick")))))</f>
        <v>Kick</v>
      </c>
      <c r="BV77" s="161" t="s">
        <v>192</v>
      </c>
      <c r="BW77" s="180" t="str">
        <f>IF($J$24="Español","Patada",(IF($J$24="Deutsch","Kicken",(IF($J$24="Français","Joueur Déloyal (+1)","Kick")))))</f>
        <v>Kick</v>
      </c>
      <c r="BX77" s="161" t="s">
        <v>192</v>
      </c>
      <c r="BY77" s="205" t="str">
        <f>IF($J$24="Español","Patada",(IF($J$24="Deutsch","Kicken",(IF($J$24="Français","Joueur Déloyal (+1)","Kick")))))</f>
        <v>Kick</v>
      </c>
      <c r="BZ77" s="161" t="s">
        <v>192</v>
      </c>
      <c r="CA77" s="60"/>
      <c r="CB77" s="4"/>
      <c r="CC77" s="205" t="str">
        <f>IF($J$24="Español","Placaje Defensivo",(IF($J$24="Deutsch","Profi",(IF($J$24="Français","Parade","Shadowing")))))</f>
        <v>Shadowing</v>
      </c>
      <c r="CD77" s="207" t="s">
        <v>192</v>
      </c>
      <c r="CE77" s="202"/>
      <c r="CF77" s="207"/>
      <c r="CG77" s="207" t="str">
        <f t="shared" si="107"/>
        <v>Pro</v>
      </c>
      <c r="CH77" s="207" t="str">
        <f t="shared" si="108"/>
        <v>Pro</v>
      </c>
      <c r="CI77" s="5" t="str">
        <f t="shared" si="109"/>
        <v>Pro</v>
      </c>
      <c r="CJ77" s="5" t="b">
        <f t="shared" si="110"/>
        <v>0</v>
      </c>
      <c r="CK77" s="5" t="b">
        <f t="shared" si="111"/>
        <v>0</v>
      </c>
      <c r="CL77" s="5" t="b">
        <f t="shared" si="112"/>
        <v>0</v>
      </c>
      <c r="CM77" s="5" t="b">
        <f t="shared" si="113"/>
        <v>0</v>
      </c>
      <c r="CN77" s="5" t="str">
        <f t="shared" si="114"/>
        <v>Pro</v>
      </c>
      <c r="CO77" s="5" t="str">
        <f t="shared" si="115"/>
        <v>Pro</v>
      </c>
      <c r="CP77" s="5" t="str">
        <f t="shared" si="116"/>
        <v>Pro</v>
      </c>
      <c r="CQ77" s="5" t="str">
        <f t="shared" si="117"/>
        <v>Pro</v>
      </c>
      <c r="CR77" s="5" t="str">
        <f t="shared" si="118"/>
        <v>Pro</v>
      </c>
      <c r="CS77" s="5" t="str">
        <f t="shared" si="119"/>
        <v>Pro</v>
      </c>
      <c r="CT77" s="5" t="str">
        <f t="shared" si="120"/>
        <v>Pro</v>
      </c>
      <c r="CU77" s="5" t="str">
        <f t="shared" si="121"/>
        <v>Pro</v>
      </c>
      <c r="CV77" s="5" t="b">
        <f t="shared" si="122"/>
        <v>0</v>
      </c>
      <c r="CW77" s="5"/>
      <c r="CX77" s="5"/>
      <c r="CY77" s="5"/>
      <c r="CZ77" s="5"/>
    </row>
    <row r="78" spans="1:104" ht="15" hidden="1" customHeight="1">
      <c r="A78" s="5"/>
      <c r="B78" s="41"/>
      <c r="C78" s="41"/>
      <c r="D78" s="41"/>
      <c r="E78" s="41"/>
      <c r="F78" s="41"/>
      <c r="G78" s="5"/>
      <c r="H78" s="5"/>
      <c r="I78" s="5"/>
      <c r="J78" s="5"/>
      <c r="K78" s="5">
        <f t="shared" si="123"/>
        <v>6</v>
      </c>
      <c r="L78" s="5">
        <f t="shared" si="124"/>
        <v>3</v>
      </c>
      <c r="M78" s="5">
        <f t="shared" ref="M78:N78" si="149">IF(S78=0,0,(IF(S78&gt;6,6,(IF(S78&lt;1,1,S78)))))</f>
        <v>2</v>
      </c>
      <c r="N78" s="5">
        <f t="shared" si="149"/>
        <v>4</v>
      </c>
      <c r="O78" s="5">
        <f t="shared" si="126"/>
        <v>9</v>
      </c>
      <c r="P78" s="5"/>
      <c r="Q78" s="4">
        <f>IFERROR((VLOOKUP($BO$1&amp;C14,Teams!D:M,2,0)+AK78+AC78),0)</f>
        <v>6</v>
      </c>
      <c r="R78" s="4">
        <f>IFERROR((VLOOKUP($BO$1&amp;C14,Teams!D:M,3,0)+AL78+AD78),0)</f>
        <v>3</v>
      </c>
      <c r="S78" s="4">
        <f>IFERROR((VLOOKUP($BO$1&amp;C14,Teams!D:M,4,0)+AM78-AE78),0)</f>
        <v>2</v>
      </c>
      <c r="T78" s="4">
        <f>IFERROR((VLOOKUP($BO$1&amp;C14,Teams!D:M,5,0)+AN78-AF78),0)</f>
        <v>4</v>
      </c>
      <c r="U78" s="4">
        <f>IFERROR((VLOOKUP($BO$1&amp;C14,Teams!D:M,6,0)+AO78+AG78),0)</f>
        <v>9</v>
      </c>
      <c r="V78" s="5"/>
      <c r="W78" s="5">
        <f>IFERROR((VLOOKUP($BO$1&amp;C14,Teams!D:M,2,0)),0)</f>
        <v>6</v>
      </c>
      <c r="X78" s="5">
        <f>IFERROR((VLOOKUP($BO$1&amp;C14,Teams!D:M,3,0)),0)</f>
        <v>3</v>
      </c>
      <c r="Y78" s="5">
        <f>IFERROR((VLOOKUP($BO$1&amp;C14,Teams!D:M,4,0)),0)</f>
        <v>2</v>
      </c>
      <c r="Z78" s="5">
        <f>IFERROR((VLOOKUP($BO$1&amp;C14,Teams!D:M,5,0)),0)</f>
        <v>4</v>
      </c>
      <c r="AA78" s="5">
        <f>IFERROR((VLOOKUP($BO$1&amp;C14,Teams!D:M,6,0)),0)</f>
        <v>9</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0" t="str">
        <f>IF($J$24="Español","Perseguir",(IF($J$24="Deutsch","Manndeckung",(IF($J$24="Français","Lutte","Pro")))))</f>
        <v>Pro</v>
      </c>
      <c r="BT78" s="161" t="s">
        <v>192</v>
      </c>
      <c r="BU78" s="180" t="str">
        <f>IF($J$24="Español","Perseguir",(IF($J$24="Deutsch","Manndeckung",(IF($J$24="Français","Lutte","Pro")))))</f>
        <v>Pro</v>
      </c>
      <c r="BV78" s="161" t="s">
        <v>192</v>
      </c>
      <c r="BW78" s="180" t="str">
        <f>IF($J$24="Español","Perseguir",(IF($J$24="Deutsch","Manndeckung",(IF($J$24="Français","Lutte","Pro")))))</f>
        <v>Pro</v>
      </c>
      <c r="BX78" s="161" t="s">
        <v>192</v>
      </c>
      <c r="BY78" s="205" t="str">
        <f>IF($J$24="Español","Perseguir",(IF($J$24="Deutsch","Manndeckung",(IF($J$24="Français","Lutte","Pro")))))</f>
        <v>Pro</v>
      </c>
      <c r="BZ78" s="161" t="s">
        <v>192</v>
      </c>
      <c r="CA78" s="60"/>
      <c r="CB78" s="4"/>
      <c r="CC78" s="205" t="str">
        <f>IF($J$24="Español","Placar",(IF($J$24="Deutsch","Rasend",(IF($J$24="Français","Poursuite","Strip Ball")))))</f>
        <v>Strip Ball</v>
      </c>
      <c r="CD78" s="207" t="s">
        <v>192</v>
      </c>
      <c r="CE78" s="202"/>
      <c r="CF78" s="207"/>
      <c r="CG78" s="207" t="str">
        <f t="shared" si="107"/>
        <v>Shadowing</v>
      </c>
      <c r="CH78" s="207" t="str">
        <f t="shared" si="108"/>
        <v>Shadowing</v>
      </c>
      <c r="CI78" s="5" t="str">
        <f t="shared" si="109"/>
        <v>Shadowing</v>
      </c>
      <c r="CJ78" s="5" t="b">
        <f t="shared" si="110"/>
        <v>0</v>
      </c>
      <c r="CK78" s="5" t="b">
        <f t="shared" si="111"/>
        <v>0</v>
      </c>
      <c r="CL78" s="5" t="b">
        <f t="shared" si="112"/>
        <v>0</v>
      </c>
      <c r="CM78" s="5" t="b">
        <f t="shared" si="113"/>
        <v>0</v>
      </c>
      <c r="CN78" s="5" t="str">
        <f t="shared" si="114"/>
        <v>Shadowing</v>
      </c>
      <c r="CO78" s="5" t="str">
        <f t="shared" si="115"/>
        <v>Shadowing</v>
      </c>
      <c r="CP78" s="5" t="str">
        <f t="shared" si="116"/>
        <v>Shadowing</v>
      </c>
      <c r="CQ78" s="5" t="str">
        <f t="shared" si="117"/>
        <v>Shadowing</v>
      </c>
      <c r="CR78" s="5" t="str">
        <f t="shared" si="118"/>
        <v>Shadowing</v>
      </c>
      <c r="CS78" s="5" t="str">
        <f t="shared" si="119"/>
        <v>Shadowing</v>
      </c>
      <c r="CT78" s="5" t="str">
        <f t="shared" si="120"/>
        <v>Shadowing</v>
      </c>
      <c r="CU78" s="5" t="str">
        <f t="shared" si="121"/>
        <v>Shadowing</v>
      </c>
      <c r="CV78" s="5" t="b">
        <f t="shared" si="122"/>
        <v>0</v>
      </c>
      <c r="CW78" s="5"/>
      <c r="CX78" s="5"/>
      <c r="CY78" s="5"/>
      <c r="CZ78" s="5"/>
    </row>
    <row r="79" spans="1:104" ht="15" hidden="1" customHeight="1">
      <c r="A79" s="5"/>
      <c r="B79" s="5"/>
      <c r="C79" s="5"/>
      <c r="D79" s="5"/>
      <c r="E79" s="5"/>
      <c r="F79" s="5"/>
      <c r="G79" s="5"/>
      <c r="H79" s="5"/>
      <c r="I79" s="5"/>
      <c r="J79" s="5"/>
      <c r="K79" s="5">
        <f t="shared" si="123"/>
        <v>6</v>
      </c>
      <c r="L79" s="5">
        <f t="shared" si="124"/>
        <v>3</v>
      </c>
      <c r="M79" s="5">
        <f t="shared" ref="M79:N79" si="150">IF(S79=0,0,(IF(S79&gt;6,6,(IF(S79&lt;1,1,S79)))))</f>
        <v>2</v>
      </c>
      <c r="N79" s="5">
        <f t="shared" si="150"/>
        <v>4</v>
      </c>
      <c r="O79" s="5">
        <f t="shared" si="126"/>
        <v>9</v>
      </c>
      <c r="P79" s="5"/>
      <c r="Q79" s="4">
        <f>IFERROR((VLOOKUP($BO$1&amp;C15,Teams!D:M,2,0)+AK79+AC79),0)</f>
        <v>6</v>
      </c>
      <c r="R79" s="4">
        <f>IFERROR((VLOOKUP($BO$1&amp;C15,Teams!D:M,3,0)+AL79+AD79),0)</f>
        <v>3</v>
      </c>
      <c r="S79" s="4">
        <f>IFERROR((VLOOKUP($BO$1&amp;C15,Teams!D:M,4,0)+AM79-AE79),0)</f>
        <v>2</v>
      </c>
      <c r="T79" s="4">
        <f>IFERROR((VLOOKUP($BO$1&amp;C15,Teams!D:M,5,0)+AN79-AF79),0)</f>
        <v>4</v>
      </c>
      <c r="U79" s="4">
        <f>IFERROR((VLOOKUP($BO$1&amp;C15,Teams!D:M,6,0)+AO79+AG79),0)</f>
        <v>9</v>
      </c>
      <c r="V79" s="5"/>
      <c r="W79" s="5">
        <f>IFERROR((VLOOKUP($BO$1&amp;C15,Teams!D:M,2,0)),0)</f>
        <v>6</v>
      </c>
      <c r="X79" s="5">
        <f>IFERROR((VLOOKUP($BO$1&amp;C15,Teams!D:M,3,0)),0)</f>
        <v>3</v>
      </c>
      <c r="Y79" s="5">
        <f>IFERROR((VLOOKUP($BO$1&amp;C15,Teams!D:M,4,0)),0)</f>
        <v>2</v>
      </c>
      <c r="Z79" s="5">
        <f>IFERROR((VLOOKUP($BO$1&amp;C15,Teams!D:M,5,0)),0)</f>
        <v>4</v>
      </c>
      <c r="AA79" s="5">
        <f>IFERROR((VLOOKUP($BO$1&amp;C15,Teams!D:M,6,0)),0)</f>
        <v>9</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0</v>
      </c>
      <c r="BB79" s="5"/>
      <c r="BC79" s="5"/>
      <c r="BD79" s="5"/>
      <c r="BE79" s="5"/>
      <c r="BF79" s="14"/>
      <c r="BG79" s="14"/>
      <c r="BH79" s="14"/>
      <c r="BI79" s="5"/>
      <c r="BJ79" s="14"/>
      <c r="BK79" s="5"/>
      <c r="BL79" s="14"/>
      <c r="BM79" s="5"/>
      <c r="BN79" s="5"/>
      <c r="BO79" s="5"/>
      <c r="BP79" s="14"/>
      <c r="BQ79" s="14"/>
      <c r="BR79" s="14"/>
      <c r="BS79" s="180" t="str">
        <f>IF($J$24="Español","Placaje Defensivo",(IF($J$24="Deutsch","Profi",(IF($J$24="Français","Parade","Shadowing")))))</f>
        <v>Shadowing</v>
      </c>
      <c r="BT79" s="161" t="s">
        <v>192</v>
      </c>
      <c r="BU79" s="180" t="str">
        <f>IF($J$24="Español","Placaje Defensivo",(IF($J$24="Deutsch","Profi",(IF($J$24="Français","Parade","Shadowing")))))</f>
        <v>Shadowing</v>
      </c>
      <c r="BV79" s="161" t="s">
        <v>192</v>
      </c>
      <c r="BW79" s="180" t="str">
        <f>IF($J$24="Español","Placaje Defensivo",(IF($J$24="Deutsch","Profi",(IF($J$24="Français","Parade","Shadowing")))))</f>
        <v>Shadowing</v>
      </c>
      <c r="BX79" s="161" t="s">
        <v>192</v>
      </c>
      <c r="BY79" s="205" t="str">
        <f>IF($J$24="Español","Placaje Defensivo",(IF($J$24="Deutsch","Profi",(IF($J$24="Français","Parade","Shadowing")))))</f>
        <v>Shadowing</v>
      </c>
      <c r="BZ79" s="161" t="s">
        <v>192</v>
      </c>
      <c r="CA79" s="60"/>
      <c r="CB79" s="4"/>
      <c r="CC79" s="205" t="str">
        <f>IF($J$24="Español","Profesional",(IF($J$24="Deutsch","Tackle",(IF($J$24="Français","Prise sûre","Sure Hands")))))</f>
        <v>Sure Hands</v>
      </c>
      <c r="CD79" s="207" t="s">
        <v>192</v>
      </c>
      <c r="CE79" s="202"/>
      <c r="CF79" s="207"/>
      <c r="CG79" s="207" t="str">
        <f t="shared" si="107"/>
        <v>Strip Ball</v>
      </c>
      <c r="CH79" s="207" t="str">
        <f t="shared" si="108"/>
        <v>Strip Ball</v>
      </c>
      <c r="CI79" s="5" t="str">
        <f t="shared" si="109"/>
        <v>Strip Ball</v>
      </c>
      <c r="CJ79" s="5" t="b">
        <f t="shared" si="110"/>
        <v>0</v>
      </c>
      <c r="CK79" s="5" t="b">
        <f t="shared" si="111"/>
        <v>0</v>
      </c>
      <c r="CL79" s="5" t="b">
        <f t="shared" si="112"/>
        <v>0</v>
      </c>
      <c r="CM79" s="5" t="b">
        <f t="shared" si="113"/>
        <v>0</v>
      </c>
      <c r="CN79" s="5" t="str">
        <f t="shared" si="114"/>
        <v>Strip Ball</v>
      </c>
      <c r="CO79" s="5" t="str">
        <f t="shared" si="115"/>
        <v>Strip Ball</v>
      </c>
      <c r="CP79" s="5" t="str">
        <f t="shared" si="116"/>
        <v>Strip Ball</v>
      </c>
      <c r="CQ79" s="5" t="str">
        <f t="shared" si="117"/>
        <v>Strip Ball</v>
      </c>
      <c r="CR79" s="5" t="str">
        <f t="shared" si="118"/>
        <v>Strip Ball</v>
      </c>
      <c r="CS79" s="5" t="str">
        <f t="shared" si="119"/>
        <v>Strip Ball</v>
      </c>
      <c r="CT79" s="5" t="str">
        <f t="shared" si="120"/>
        <v>Strip Ball</v>
      </c>
      <c r="CU79" s="5" t="str">
        <f t="shared" si="121"/>
        <v>Strip Ball</v>
      </c>
      <c r="CV79" s="5" t="b">
        <f t="shared" si="122"/>
        <v>0</v>
      </c>
      <c r="CW79" s="5"/>
      <c r="CX79" s="5"/>
      <c r="CY79" s="5"/>
      <c r="CZ79" s="5"/>
    </row>
    <row r="80" spans="1:104" ht="15" hidden="1" customHeight="1">
      <c r="A80" s="5"/>
      <c r="B80" s="5"/>
      <c r="C80" s="5"/>
      <c r="D80" s="5"/>
      <c r="E80" s="5"/>
      <c r="F80" s="5"/>
      <c r="G80" s="5"/>
      <c r="H80" s="5"/>
      <c r="I80" s="5"/>
      <c r="J80" s="5"/>
      <c r="K80" s="5">
        <f t="shared" si="123"/>
        <v>6</v>
      </c>
      <c r="L80" s="5">
        <f t="shared" si="124"/>
        <v>3</v>
      </c>
      <c r="M80" s="5">
        <f t="shared" ref="M80:N80" si="151">IF(S80=0,0,(IF(S80&gt;6,6,(IF(S80&lt;1,1,S80)))))</f>
        <v>2</v>
      </c>
      <c r="N80" s="5">
        <f t="shared" si="151"/>
        <v>4</v>
      </c>
      <c r="O80" s="5">
        <f t="shared" si="126"/>
        <v>9</v>
      </c>
      <c r="P80" s="5"/>
      <c r="Q80" s="4">
        <f>IFERROR((VLOOKUP($BO$1&amp;C16,Teams!D:M,2,0)+AK80+AC80),0)</f>
        <v>6</v>
      </c>
      <c r="R80" s="4">
        <f>IFERROR((VLOOKUP($BO$1&amp;C16,Teams!D:M,3,0)+AL80+AD80),0)</f>
        <v>3</v>
      </c>
      <c r="S80" s="4">
        <f>IFERROR((VLOOKUP($BO$1&amp;C16,Teams!D:M,4,0)+AM80-AE80),0)</f>
        <v>2</v>
      </c>
      <c r="T80" s="4">
        <f>IFERROR((VLOOKUP($BO$1&amp;C16,Teams!D:M,5,0)+AN80-AF80),0)</f>
        <v>4</v>
      </c>
      <c r="U80" s="4">
        <f>IFERROR((VLOOKUP($BO$1&amp;C16,Teams!D:M,6,0)+AO80+AG80),0)</f>
        <v>9</v>
      </c>
      <c r="V80" s="5"/>
      <c r="W80" s="5">
        <f>IFERROR((VLOOKUP($BO$1&amp;C16,Teams!D:M,2,0)),0)</f>
        <v>6</v>
      </c>
      <c r="X80" s="5">
        <f>IFERROR((VLOOKUP($BO$1&amp;C16,Teams!D:M,3,0)),0)</f>
        <v>3</v>
      </c>
      <c r="Y80" s="5">
        <f>IFERROR((VLOOKUP($BO$1&amp;C16,Teams!D:M,4,0)),0)</f>
        <v>2</v>
      </c>
      <c r="Z80" s="5">
        <f>IFERROR((VLOOKUP($BO$1&amp;C16,Teams!D:M,5,0)),0)</f>
        <v>4</v>
      </c>
      <c r="AA80" s="5">
        <f>IFERROR((VLOOKUP($BO$1&amp;C16,Teams!D:M,6,0)),0)</f>
        <v>9</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0" t="str">
        <f>IF($J$24="Español","Placar",(IF($J$24="Deutsch","Rasend",(IF($J$24="Français","Poursuite","Strip Ball")))))</f>
        <v>Strip Ball</v>
      </c>
      <c r="BT80" s="161" t="s">
        <v>192</v>
      </c>
      <c r="BU80" s="180" t="str">
        <f>IF($J$24="Español","Placar",(IF($J$24="Deutsch","Rasend",(IF($J$24="Français","Poursuite","Strip Ball")))))</f>
        <v>Strip Ball</v>
      </c>
      <c r="BV80" s="161" t="s">
        <v>192</v>
      </c>
      <c r="BW80" s="180" t="str">
        <f>IF($J$24="Español","Placar",(IF($J$24="Deutsch","Rasend",(IF($J$24="Français","Poursuite","Strip Ball")))))</f>
        <v>Strip Ball</v>
      </c>
      <c r="BX80" s="161" t="s">
        <v>192</v>
      </c>
      <c r="BY80" s="205" t="str">
        <f>IF($J$24="Español","Placar",(IF($J$24="Deutsch","Rasend",(IF($J$24="Français","Poursuite","Strip Ball")))))</f>
        <v>Strip Ball</v>
      </c>
      <c r="BZ80" s="161" t="s">
        <v>192</v>
      </c>
      <c r="CA80" s="60"/>
      <c r="CB80" s="4"/>
      <c r="CC80" s="205" t="str">
        <f>IF($J$24="Español","Robar Balón",(IF($J$24="Deutsch","Unerschrocken",(IF($J$24="Français","Pro","Tackle")))))</f>
        <v>Tackle</v>
      </c>
      <c r="CD80" s="207" t="s">
        <v>192</v>
      </c>
      <c r="CE80" s="202"/>
      <c r="CF80" s="207"/>
      <c r="CG80" s="207" t="str">
        <f t="shared" si="107"/>
        <v>Sure Hands</v>
      </c>
      <c r="CH80" s="207" t="str">
        <f t="shared" si="108"/>
        <v>Sure Hands</v>
      </c>
      <c r="CI80" s="5" t="str">
        <f t="shared" si="109"/>
        <v>Sure Hands</v>
      </c>
      <c r="CJ80" s="5" t="b">
        <f t="shared" si="110"/>
        <v>0</v>
      </c>
      <c r="CK80" s="5" t="b">
        <f t="shared" si="111"/>
        <v>0</v>
      </c>
      <c r="CL80" s="5" t="b">
        <f t="shared" si="112"/>
        <v>0</v>
      </c>
      <c r="CM80" s="5" t="b">
        <f t="shared" si="113"/>
        <v>0</v>
      </c>
      <c r="CN80" s="5" t="str">
        <f t="shared" si="114"/>
        <v>Sure Hands</v>
      </c>
      <c r="CO80" s="5" t="str">
        <f t="shared" si="115"/>
        <v>Sure Hands</v>
      </c>
      <c r="CP80" s="5" t="str">
        <f t="shared" si="116"/>
        <v>Sure Hands</v>
      </c>
      <c r="CQ80" s="5" t="str">
        <f t="shared" si="117"/>
        <v>Sure Hands</v>
      </c>
      <c r="CR80" s="5" t="str">
        <f t="shared" si="118"/>
        <v>Sure Hands</v>
      </c>
      <c r="CS80" s="5" t="str">
        <f t="shared" si="119"/>
        <v>Sure Hands</v>
      </c>
      <c r="CT80" s="5" t="str">
        <f t="shared" si="120"/>
        <v>Sure Hands</v>
      </c>
      <c r="CU80" s="5" t="str">
        <f t="shared" si="121"/>
        <v>Sure Hands</v>
      </c>
      <c r="CV80" s="5" t="b">
        <f t="shared" si="122"/>
        <v>0</v>
      </c>
      <c r="CW80" s="5"/>
      <c r="CX80" s="5"/>
      <c r="CY80" s="5"/>
      <c r="CZ80" s="5"/>
    </row>
    <row r="81" spans="1:104" ht="15" hidden="1" customHeight="1">
      <c r="A81" s="5"/>
      <c r="B81" s="5"/>
      <c r="C81" s="5"/>
      <c r="D81" s="5"/>
      <c r="E81" s="5"/>
      <c r="F81" s="5"/>
      <c r="G81" s="5"/>
      <c r="H81" s="5"/>
      <c r="I81" s="5"/>
      <c r="J81" s="5"/>
      <c r="K81" s="5">
        <f t="shared" si="123"/>
        <v>0</v>
      </c>
      <c r="L81" s="5">
        <f t="shared" si="124"/>
        <v>0</v>
      </c>
      <c r="M81" s="5">
        <f t="shared" ref="M81:N81" si="152">IF(S81=0,0,(IF(S81&gt;6,6,(IF(S81&lt;1,1,S81)))))</f>
        <v>0</v>
      </c>
      <c r="N81" s="5">
        <f t="shared" si="152"/>
        <v>0</v>
      </c>
      <c r="O81" s="5">
        <f t="shared" si="126"/>
        <v>0</v>
      </c>
      <c r="P81" s="5"/>
      <c r="Q81" s="4">
        <f>IFERROR((VLOOKUP($BO$1&amp;C17,Teams!D:M,2,0)+AK81+AC81),0)</f>
        <v>0</v>
      </c>
      <c r="R81" s="4">
        <f>IFERROR((VLOOKUP($BO$1&amp;C17,Teams!D:M,3,0)+AL81+AD81),0)</f>
        <v>0</v>
      </c>
      <c r="S81" s="4">
        <f>IFERROR((VLOOKUP($BO$1&amp;C17,Teams!D:M,4,0)+AM81-AE81),0)</f>
        <v>0</v>
      </c>
      <c r="T81" s="4">
        <f>IFERROR((VLOOKUP($BO$1&amp;C17,Teams!D:M,5,0)+AN81-AF81),0)</f>
        <v>0</v>
      </c>
      <c r="U81" s="4">
        <f>IFERROR((VLOOKUP($BO$1&amp;C17,Teams!D:M,6,0)+AO81+AG81),0)</f>
        <v>0</v>
      </c>
      <c r="V81" s="5"/>
      <c r="W81" s="5">
        <f>IFERROR((VLOOKUP($BO$1&amp;C17,Teams!D:M,2,0)),0)</f>
        <v>0</v>
      </c>
      <c r="X81" s="5">
        <f>IFERROR((VLOOKUP($BO$1&amp;C17,Teams!D:M,3,0)),0)</f>
        <v>0</v>
      </c>
      <c r="Y81" s="5">
        <f>IFERROR((VLOOKUP($BO$1&amp;C17,Teams!D:M,4,0)),0)</f>
        <v>0</v>
      </c>
      <c r="Z81" s="5">
        <f>IFERROR((VLOOKUP($BO$1&amp;C17,Teams!D:M,5,0)),0)</f>
        <v>0</v>
      </c>
      <c r="AA81" s="5">
        <f>IFERROR((VLOOKUP($BO$1&amp;C17,Teams!D:M,6,0)),0)</f>
        <v>0</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0" t="str">
        <f>IF($J$24="Español","Profesional",(IF($J$24="Deutsch","Tackle",(IF($J$24="Français","Prise sûre","Sure Hands")))))</f>
        <v>Sure Hands</v>
      </c>
      <c r="BT81" s="161" t="s">
        <v>192</v>
      </c>
      <c r="BU81" s="180" t="str">
        <f>IF($J$24="Español","Profesional",(IF($J$24="Deutsch","Tackle",(IF($J$24="Français","Prise sûre","Sure Hands")))))</f>
        <v>Sure Hands</v>
      </c>
      <c r="BV81" s="161" t="s">
        <v>192</v>
      </c>
      <c r="BW81" s="180" t="str">
        <f>IF($J$24="Español","Profesional",(IF($J$24="Deutsch","Tackle",(IF($J$24="Français","Prise sûre","Sure Hands")))))</f>
        <v>Sure Hands</v>
      </c>
      <c r="BX81" s="161" t="s">
        <v>192</v>
      </c>
      <c r="BY81" s="205" t="str">
        <f>IF($J$24="Español","Profesional",(IF($J$24="Deutsch","Tackle",(IF($J$24="Français","Prise sûre","Sure Hands")))))</f>
        <v>Sure Hands</v>
      </c>
      <c r="BZ81" s="161" t="s">
        <v>192</v>
      </c>
      <c r="CA81" s="60"/>
      <c r="CB81" s="4"/>
      <c r="CC81" s="205" t="str">
        <f>IF($J$24="Español","Zafarse",(IF($J$24="Deutsch","Wrestling",(IF($J$24="Français","Tacle","Wrestle")))))</f>
        <v>Wrestle</v>
      </c>
      <c r="CD81" s="207" t="s">
        <v>192</v>
      </c>
      <c r="CE81" s="207"/>
      <c r="CF81" s="207"/>
      <c r="CG81" s="207" t="str">
        <f t="shared" si="107"/>
        <v>Tackle</v>
      </c>
      <c r="CH81" s="207" t="str">
        <f t="shared" si="108"/>
        <v>Tackle</v>
      </c>
      <c r="CI81" s="5" t="str">
        <f t="shared" si="109"/>
        <v>Tackle</v>
      </c>
      <c r="CJ81" s="5" t="b">
        <f t="shared" si="110"/>
        <v>0</v>
      </c>
      <c r="CK81" s="5" t="b">
        <f t="shared" si="111"/>
        <v>0</v>
      </c>
      <c r="CL81" s="5" t="b">
        <f t="shared" si="112"/>
        <v>0</v>
      </c>
      <c r="CM81" s="5" t="b">
        <f t="shared" si="113"/>
        <v>0</v>
      </c>
      <c r="CN81" s="5" t="str">
        <f t="shared" si="114"/>
        <v>Tackle</v>
      </c>
      <c r="CO81" s="5" t="str">
        <f t="shared" si="115"/>
        <v>Tackle</v>
      </c>
      <c r="CP81" s="5" t="str">
        <f t="shared" si="116"/>
        <v>Tackle</v>
      </c>
      <c r="CQ81" s="5" t="str">
        <f t="shared" si="117"/>
        <v>Tackle</v>
      </c>
      <c r="CR81" s="5" t="str">
        <f t="shared" si="118"/>
        <v>Tackle</v>
      </c>
      <c r="CS81" s="5" t="str">
        <f t="shared" si="119"/>
        <v>Tackle</v>
      </c>
      <c r="CT81" s="5" t="str">
        <f t="shared" si="120"/>
        <v>Tackle</v>
      </c>
      <c r="CU81" s="5" t="str">
        <f t="shared" si="121"/>
        <v>Tackle</v>
      </c>
      <c r="CV81" s="5" t="b">
        <f t="shared" si="122"/>
        <v>0</v>
      </c>
      <c r="CW81" s="5"/>
      <c r="CX81" s="5"/>
      <c r="CY81" s="5"/>
      <c r="CZ81" s="5"/>
    </row>
    <row r="82" spans="1:104" ht="15" hidden="1"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0" t="str">
        <f>IF($J$24="Español","Robar Balón",(IF($J$24="Deutsch","Unerschrocken",(IF($J$24="Français","Pro","Tackle")))))</f>
        <v>Tackle</v>
      </c>
      <c r="BT82" s="161" t="s">
        <v>192</v>
      </c>
      <c r="BU82" s="180" t="str">
        <f>IF($J$24="Español","Robar Balón",(IF($J$24="Deutsch","Unerschrocken",(IF($J$24="Français","Pro","Tackle")))))</f>
        <v>Tackle</v>
      </c>
      <c r="BV82" s="161" t="s">
        <v>192</v>
      </c>
      <c r="BW82" s="180" t="str">
        <f>IF($J$24="Español","Robar Balón",(IF($J$24="Deutsch","Unerschrocken",(IF($J$24="Français","Pro","Tackle")))))</f>
        <v>Tackle</v>
      </c>
      <c r="BX82" s="161" t="s">
        <v>192</v>
      </c>
      <c r="BY82" s="205" t="str">
        <f>IF($J$24="Español","Robar Balón",(IF($J$24="Deutsch","Unerschrocken",(IF($J$24="Français","Pro","Tackle")))))</f>
        <v>Tackle</v>
      </c>
      <c r="BZ82" s="161" t="s">
        <v>192</v>
      </c>
      <c r="CA82" s="60"/>
      <c r="CB82" s="4"/>
      <c r="CC82" s="205" t="str">
        <f>IF($J$24="Español","Atrapar",(IF($J$24="Deutsch","Aufspringen",(IF($J$24="Français","Défenseur ","Catch")))))</f>
        <v>Catch</v>
      </c>
      <c r="CD82" s="207" t="s">
        <v>193</v>
      </c>
      <c r="CE82" s="202"/>
      <c r="CF82" s="207"/>
      <c r="CG82" s="207" t="str">
        <f t="shared" si="107"/>
        <v>Wrestle</v>
      </c>
      <c r="CH82" s="207" t="str">
        <f t="shared" si="108"/>
        <v>Wrestle</v>
      </c>
      <c r="CI82" s="5" t="str">
        <f t="shared" si="109"/>
        <v>Wrestle</v>
      </c>
      <c r="CJ82" s="5" t="b">
        <f t="shared" si="110"/>
        <v>0</v>
      </c>
      <c r="CK82" s="5" t="b">
        <f t="shared" si="111"/>
        <v>0</v>
      </c>
      <c r="CL82" s="5" t="b">
        <f t="shared" si="112"/>
        <v>0</v>
      </c>
      <c r="CM82" s="5" t="b">
        <f t="shared" si="113"/>
        <v>0</v>
      </c>
      <c r="CN82" s="5" t="str">
        <f t="shared" si="114"/>
        <v>Wrestle</v>
      </c>
      <c r="CO82" s="5" t="str">
        <f t="shared" si="115"/>
        <v>Wrestle</v>
      </c>
      <c r="CP82" s="5" t="str">
        <f t="shared" si="116"/>
        <v>Wrestle</v>
      </c>
      <c r="CQ82" s="5" t="str">
        <f t="shared" si="117"/>
        <v>Wrestle</v>
      </c>
      <c r="CR82" s="5" t="str">
        <f t="shared" si="118"/>
        <v>Wrestle</v>
      </c>
      <c r="CS82" s="5" t="str">
        <f t="shared" si="119"/>
        <v>Wrestle</v>
      </c>
      <c r="CT82" s="5" t="str">
        <f t="shared" si="120"/>
        <v>Wrestle</v>
      </c>
      <c r="CU82" s="5" t="str">
        <f t="shared" si="121"/>
        <v>Wrestle</v>
      </c>
      <c r="CV82" s="5" t="b">
        <f t="shared" si="122"/>
        <v>0</v>
      </c>
      <c r="CW82" s="5"/>
      <c r="CX82" s="5"/>
      <c r="CY82" s="5"/>
      <c r="CZ82" s="5"/>
    </row>
    <row r="83" spans="1:104" ht="14.25" hidden="1"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0" t="str">
        <f>IF($J$24="Español","Zafarse",(IF($J$24="Deutsch","Wrestling",(IF($J$24="Français","Tacle","Wrestle")))))</f>
        <v>Wrestle</v>
      </c>
      <c r="BT83" s="161" t="s">
        <v>192</v>
      </c>
      <c r="BU83" s="180" t="str">
        <f>IF($J$24="Español","Zafarse",(IF($J$24="Deutsch","Wrestling",(IF($J$24="Français","Tacle","Wrestle")))))</f>
        <v>Wrestle</v>
      </c>
      <c r="BV83" s="161" t="s">
        <v>192</v>
      </c>
      <c r="BW83" s="180" t="str">
        <f>IF($J$24="Español","Zafarse",(IF($J$24="Deutsch","Wrestling",(IF($J$24="Français","Tacle","Wrestle")))))</f>
        <v>Wrestle</v>
      </c>
      <c r="BX83" s="161" t="s">
        <v>192</v>
      </c>
      <c r="BY83" s="205" t="str">
        <f>IF($J$24="Español","Zafarse",(IF($J$24="Deutsch","Wrestling",(IF($J$24="Français","Tacle","Wrestle")))))</f>
        <v>Wrestle</v>
      </c>
      <c r="BZ83" s="161" t="s">
        <v>192</v>
      </c>
      <c r="CA83" s="207"/>
      <c r="CB83" s="207"/>
      <c r="CC83" s="205" t="str">
        <f>IF($J$24="Español","Echarse a un Lado",(IF($J$24="Deutsch","Ausweichen",(IF($J$24="Français","Équilibre","Diving Catch")))))</f>
        <v>Diving Catch</v>
      </c>
      <c r="CD83" s="207" t="s">
        <v>193</v>
      </c>
      <c r="CE83" s="202"/>
      <c r="CF83" s="207"/>
      <c r="CG83" s="207" t="str">
        <f t="shared" si="107"/>
        <v>Catch</v>
      </c>
      <c r="CH83" s="207" t="str">
        <f t="shared" si="108"/>
        <v>Catch</v>
      </c>
      <c r="CI83" s="5" t="str">
        <f t="shared" si="109"/>
        <v>Catch</v>
      </c>
      <c r="CJ83" s="5" t="b">
        <f t="shared" si="110"/>
        <v>0</v>
      </c>
      <c r="CK83" s="5" t="b">
        <f t="shared" si="111"/>
        <v>0</v>
      </c>
      <c r="CL83" s="5" t="b">
        <f t="shared" si="112"/>
        <v>0</v>
      </c>
      <c r="CM83" s="5" t="b">
        <f t="shared" si="113"/>
        <v>0</v>
      </c>
      <c r="CN83" s="5" t="str">
        <f t="shared" si="114"/>
        <v>Catch</v>
      </c>
      <c r="CO83" s="5" t="str">
        <f t="shared" si="115"/>
        <v>Catch</v>
      </c>
      <c r="CP83" s="5" t="str">
        <f t="shared" si="116"/>
        <v>Catch</v>
      </c>
      <c r="CQ83" s="5" t="str">
        <f t="shared" si="117"/>
        <v>Catch</v>
      </c>
      <c r="CR83" s="5" t="str">
        <f t="shared" si="118"/>
        <v>Catch</v>
      </c>
      <c r="CS83" s="5" t="str">
        <f t="shared" si="119"/>
        <v>Catch</v>
      </c>
      <c r="CT83" s="5" t="str">
        <f t="shared" si="120"/>
        <v>Catch</v>
      </c>
      <c r="CU83" s="5" t="str">
        <f t="shared" si="121"/>
        <v>Catch</v>
      </c>
      <c r="CV83" s="5" t="b">
        <f t="shared" si="122"/>
        <v>0</v>
      </c>
      <c r="CW83" s="5"/>
      <c r="CX83" s="5"/>
      <c r="CY83" s="5"/>
      <c r="CZ83" s="5"/>
    </row>
    <row r="84" spans="1:104" ht="15" hidden="1"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0" t="str">
        <f>IF($J$24="Español","Atrapar",(IF($J$24="Deutsch","Aufspringen",(IF($J$24="Français","Défenseur ","Catch")))))</f>
        <v>Catch</v>
      </c>
      <c r="BT84" s="161" t="s">
        <v>193</v>
      </c>
      <c r="BU84" s="180" t="str">
        <f>IF($J$24="Español","Atrapar",(IF($J$24="Deutsch","Aufspringen",(IF($J$24="Français","Défenseur ","Catch")))))</f>
        <v>Catch</v>
      </c>
      <c r="BV84" s="161" t="s">
        <v>193</v>
      </c>
      <c r="BW84" s="180" t="str">
        <f>IF($J$24="Español","Atrapar",(IF($J$24="Deutsch","Aufspringen",(IF($J$24="Français","Défenseur ","Catch")))))</f>
        <v>Catch</v>
      </c>
      <c r="BX84" s="161" t="s">
        <v>193</v>
      </c>
      <c r="BY84" s="205" t="str">
        <f>IF($J$24="Español","Atrapar",(IF($J$24="Deutsch","Aufspringen",(IF($J$24="Français","Défenseur ","Catch")))))</f>
        <v>Catch</v>
      </c>
      <c r="BZ84" s="161" t="s">
        <v>193</v>
      </c>
      <c r="CA84" s="207"/>
      <c r="CB84" s="207"/>
      <c r="CC84" s="205" t="str">
        <f>IF($J$24="Español","En Pie de un Salto",(IF($J$24="Deutsch","Fangsicher",(IF($J$24="Français","Esquive","Diving Tackle")))))</f>
        <v>Diving Tackle</v>
      </c>
      <c r="CD84" s="207" t="s">
        <v>193</v>
      </c>
      <c r="CE84" s="202"/>
      <c r="CF84" s="207"/>
      <c r="CG84" s="207" t="str">
        <f t="shared" si="107"/>
        <v>Diving Catch</v>
      </c>
      <c r="CH84" s="207" t="str">
        <f t="shared" si="108"/>
        <v>Diving Catch</v>
      </c>
      <c r="CI84" s="5" t="str">
        <f t="shared" si="109"/>
        <v>Diving Catch</v>
      </c>
      <c r="CJ84" s="5" t="b">
        <f t="shared" si="110"/>
        <v>0</v>
      </c>
      <c r="CK84" s="5" t="b">
        <f t="shared" si="111"/>
        <v>0</v>
      </c>
      <c r="CL84" s="5" t="b">
        <f t="shared" si="112"/>
        <v>0</v>
      </c>
      <c r="CM84" s="5" t="b">
        <f t="shared" si="113"/>
        <v>0</v>
      </c>
      <c r="CN84" s="5" t="str">
        <f t="shared" si="114"/>
        <v>Diving Catch</v>
      </c>
      <c r="CO84" s="5" t="str">
        <f t="shared" si="115"/>
        <v>Diving Catch</v>
      </c>
      <c r="CP84" s="5" t="str">
        <f t="shared" si="116"/>
        <v>Diving Catch</v>
      </c>
      <c r="CQ84" s="5" t="str">
        <f t="shared" si="117"/>
        <v>Diving Catch</v>
      </c>
      <c r="CR84" s="5" t="str">
        <f t="shared" si="118"/>
        <v>Diving Catch</v>
      </c>
      <c r="CS84" s="5" t="str">
        <f t="shared" si="119"/>
        <v>Diving Catch</v>
      </c>
      <c r="CT84" s="5" t="str">
        <f t="shared" si="120"/>
        <v>Diving Catch</v>
      </c>
      <c r="CU84" s="5" t="str">
        <f t="shared" si="121"/>
        <v>Diving Catch</v>
      </c>
      <c r="CV84" s="5" t="b">
        <f t="shared" si="122"/>
        <v>0</v>
      </c>
      <c r="CW84" s="5"/>
      <c r="CX84" s="5"/>
      <c r="CY84" s="5"/>
      <c r="CZ84" s="5"/>
    </row>
    <row r="85" spans="1:104" ht="15" hidden="1"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0" t="str">
        <f>IF($J$24="Español","Echarse a un Lado",(IF($J$24="Deutsch","Ausweichen",(IF($J$24="Français","Équilibre","Diving Catch")))))</f>
        <v>Diving Catch</v>
      </c>
      <c r="BT85" s="161" t="s">
        <v>193</v>
      </c>
      <c r="BU85" s="180" t="str">
        <f>IF($J$24="Español","Echarse a un Lado",(IF($J$24="Deutsch","Ausweichen",(IF($J$24="Français","Équilibre","Diving Catch")))))</f>
        <v>Diving Catch</v>
      </c>
      <c r="BV85" s="161" t="s">
        <v>193</v>
      </c>
      <c r="BW85" s="180" t="str">
        <f>IF($J$24="Español","Echarse a un Lado",(IF($J$24="Deutsch","Ausweichen",(IF($J$24="Français","Équilibre","Diving Catch")))))</f>
        <v>Diving Catch</v>
      </c>
      <c r="BX85" s="161" t="s">
        <v>193</v>
      </c>
      <c r="BY85" s="205" t="str">
        <f>IF($J$24="Español","Echarse a un Lado",(IF($J$24="Deutsch","Ausweichen",(IF($J$24="Français","Équilibre","Diving Catch")))))</f>
        <v>Diving Catch</v>
      </c>
      <c r="BZ85" s="161" t="s">
        <v>193</v>
      </c>
      <c r="CA85" s="207"/>
      <c r="CB85" s="207"/>
      <c r="CC85" s="205" t="str">
        <f>IF($J$24="Español","Esprintar",(IF($J$24="Deutsch","Fliegender Tackle",(IF($J$24="Français","Glissade contrôlée","Dodge")))))</f>
        <v>Dodge</v>
      </c>
      <c r="CD85" s="207" t="s">
        <v>193</v>
      </c>
      <c r="CE85" s="202"/>
      <c r="CF85" s="207"/>
      <c r="CG85" s="207" t="str">
        <f t="shared" si="107"/>
        <v>Diving Tackle</v>
      </c>
      <c r="CH85" s="207" t="str">
        <f t="shared" si="108"/>
        <v>Diving Tackle</v>
      </c>
      <c r="CI85" s="5" t="str">
        <f t="shared" si="109"/>
        <v>Diving Tackle</v>
      </c>
      <c r="CJ85" s="5" t="b">
        <f t="shared" si="110"/>
        <v>0</v>
      </c>
      <c r="CK85" s="5" t="b">
        <f t="shared" si="111"/>
        <v>0</v>
      </c>
      <c r="CL85" s="5" t="b">
        <f t="shared" si="112"/>
        <v>0</v>
      </c>
      <c r="CM85" s="5" t="b">
        <f t="shared" si="113"/>
        <v>0</v>
      </c>
      <c r="CN85" s="5" t="str">
        <f t="shared" si="114"/>
        <v>Diving Tackle</v>
      </c>
      <c r="CO85" s="5" t="str">
        <f t="shared" si="115"/>
        <v>Diving Tackle</v>
      </c>
      <c r="CP85" s="5" t="str">
        <f t="shared" si="116"/>
        <v>Diving Tackle</v>
      </c>
      <c r="CQ85" s="5" t="str">
        <f t="shared" si="117"/>
        <v>Diving Tackle</v>
      </c>
      <c r="CR85" s="5" t="str">
        <f t="shared" si="118"/>
        <v>Diving Tackle</v>
      </c>
      <c r="CS85" s="5" t="str">
        <f t="shared" si="119"/>
        <v>Diving Tackle</v>
      </c>
      <c r="CT85" s="5" t="str">
        <f t="shared" si="120"/>
        <v>Diving Tackle</v>
      </c>
      <c r="CU85" s="5" t="str">
        <f t="shared" si="121"/>
        <v>Diving Tackle</v>
      </c>
      <c r="CV85" s="5" t="b">
        <f t="shared" si="122"/>
        <v>0</v>
      </c>
      <c r="CW85" s="5"/>
      <c r="CX85" s="5"/>
      <c r="CY85" s="5"/>
      <c r="CZ85" s="5"/>
    </row>
    <row r="86" spans="1:104" ht="15" hidden="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0" t="str">
        <f>IF($J$24="Español","En Pie de un Salto",(IF($J$24="Deutsch","Fangsicher",(IF($J$24="Français","Esquive","Diving Tackle")))))</f>
        <v>Diving Tackle</v>
      </c>
      <c r="BT86" s="161" t="s">
        <v>193</v>
      </c>
      <c r="BU86" s="180" t="str">
        <f>IF($J$24="Español","En Pie de un Salto",(IF($J$24="Deutsch","Fangsicher",(IF($J$24="Français","Esquive","Diving Tackle")))))</f>
        <v>Diving Tackle</v>
      </c>
      <c r="BV86" s="161" t="s">
        <v>193</v>
      </c>
      <c r="BW86" s="180" t="str">
        <f>IF($J$24="Español","En Pie de un Salto",(IF($J$24="Deutsch","Fangsicher",(IF($J$24="Français","Esquive","Diving Tackle")))))</f>
        <v>Diving Tackle</v>
      </c>
      <c r="BX86" s="161" t="s">
        <v>193</v>
      </c>
      <c r="BY86" s="205" t="str">
        <f>IF($J$24="Español","En Pie de un Salto",(IF($J$24="Deutsch","Fangsicher",(IF($J$24="Français","Esquive","Diving Tackle")))))</f>
        <v>Diving Tackle</v>
      </c>
      <c r="BZ86" s="161" t="s">
        <v>193</v>
      </c>
      <c r="CA86" s="207"/>
      <c r="CB86" s="207"/>
      <c r="CC86" s="205" t="str">
        <f>IF($J$24="Español","Esquivar",(IF($J$24="Deutsch","Gewandt",(IF($J$24="Français","Libération contrôlée","Defensive")))))</f>
        <v>Defensive</v>
      </c>
      <c r="CD86" s="207" t="s">
        <v>193</v>
      </c>
      <c r="CE86" s="202"/>
      <c r="CF86" s="207"/>
      <c r="CG86" s="207" t="str">
        <f t="shared" si="107"/>
        <v>Dodge</v>
      </c>
      <c r="CH86" s="207" t="str">
        <f t="shared" si="108"/>
        <v>Dodge</v>
      </c>
      <c r="CI86" s="5" t="str">
        <f t="shared" si="109"/>
        <v>Dodge</v>
      </c>
      <c r="CJ86" s="5" t="b">
        <f t="shared" si="110"/>
        <v>0</v>
      </c>
      <c r="CK86" s="5" t="b">
        <f t="shared" si="111"/>
        <v>0</v>
      </c>
      <c r="CL86" s="5" t="b">
        <f t="shared" si="112"/>
        <v>0</v>
      </c>
      <c r="CM86" s="5" t="b">
        <f t="shared" si="113"/>
        <v>0</v>
      </c>
      <c r="CN86" s="5" t="str">
        <f t="shared" si="114"/>
        <v>Dodge</v>
      </c>
      <c r="CO86" s="5" t="str">
        <f t="shared" si="115"/>
        <v>Dodge</v>
      </c>
      <c r="CP86" s="5" t="str">
        <f t="shared" si="116"/>
        <v>Dodge</v>
      </c>
      <c r="CQ86" s="5" t="str">
        <f t="shared" si="117"/>
        <v>Dodge</v>
      </c>
      <c r="CR86" s="5" t="str">
        <f t="shared" si="118"/>
        <v>Dodge</v>
      </c>
      <c r="CS86" s="5" t="str">
        <f t="shared" si="119"/>
        <v>Dodge</v>
      </c>
      <c r="CT86" s="5" t="str">
        <f t="shared" si="120"/>
        <v>Dodge</v>
      </c>
      <c r="CU86" s="5" t="str">
        <f t="shared" si="121"/>
        <v>Dodge</v>
      </c>
      <c r="CV86" s="5" t="b">
        <f t="shared" si="122"/>
        <v>0</v>
      </c>
      <c r="CW86" s="5"/>
      <c r="CX86" s="5"/>
      <c r="CY86" s="5"/>
      <c r="CZ86" s="5"/>
    </row>
    <row r="87" spans="1:104" ht="15" hidden="1"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0" t="str">
        <f>IF($J$24="Español","Esprintar",(IF($J$24="Deutsch","Fliegender Tackle",(IF($J$24="Français","Glissade contrôlée","Dodge")))))</f>
        <v>Dodge</v>
      </c>
      <c r="BT87" s="161" t="s">
        <v>193</v>
      </c>
      <c r="BU87" s="180" t="str">
        <f>IF($J$24="Español","Esprintar",(IF($J$24="Deutsch","Fliegender Tackle",(IF($J$24="Français","Glissade contrôlée","Dodge")))))</f>
        <v>Dodge</v>
      </c>
      <c r="BV87" s="161" t="s">
        <v>193</v>
      </c>
      <c r="BW87" s="180" t="str">
        <f>IF($J$24="Español","Esprintar",(IF($J$24="Deutsch","Fliegender Tackle",(IF($J$24="Français","Glissade contrôlée","Dodge")))))</f>
        <v>Dodge</v>
      </c>
      <c r="BX87" s="161" t="s">
        <v>193</v>
      </c>
      <c r="BY87" s="205" t="str">
        <f>IF($J$24="Español","Esprintar",(IF($J$24="Deutsch","Fliegender Tackle",(IF($J$24="Français","Glissade contrôlée","Dodge")))))</f>
        <v>Dodge</v>
      </c>
      <c r="BZ87" s="161" t="s">
        <v>193</v>
      </c>
      <c r="CA87" s="60"/>
      <c r="CB87" s="4"/>
      <c r="CC87" s="205" t="str">
        <f>IF($J$24="Español","Furtivo",(IF($J$24="Deutsch","Hechtsprung",(IF($J$24="Français","Réception ","Jump Up")))))</f>
        <v>Jump Up</v>
      </c>
      <c r="CD87" s="207" t="s">
        <v>193</v>
      </c>
      <c r="CE87" s="202"/>
      <c r="CF87" s="207"/>
      <c r="CG87" s="207" t="str">
        <f t="shared" si="107"/>
        <v>Defensive</v>
      </c>
      <c r="CH87" s="207" t="str">
        <f t="shared" si="108"/>
        <v>Defensive</v>
      </c>
      <c r="CI87" s="5" t="str">
        <f t="shared" si="109"/>
        <v>Defensive</v>
      </c>
      <c r="CJ87" s="5" t="b">
        <f t="shared" si="110"/>
        <v>0</v>
      </c>
      <c r="CK87" s="5" t="b">
        <f t="shared" si="111"/>
        <v>0</v>
      </c>
      <c r="CL87" s="5" t="b">
        <f t="shared" si="112"/>
        <v>0</v>
      </c>
      <c r="CM87" s="5" t="b">
        <f t="shared" si="113"/>
        <v>0</v>
      </c>
      <c r="CN87" s="5" t="str">
        <f t="shared" si="114"/>
        <v>Defensive</v>
      </c>
      <c r="CO87" s="5" t="str">
        <f t="shared" si="115"/>
        <v>Defensive</v>
      </c>
      <c r="CP87" s="5" t="str">
        <f t="shared" si="116"/>
        <v>Defensive</v>
      </c>
      <c r="CQ87" s="5" t="str">
        <f t="shared" si="117"/>
        <v>Defensive</v>
      </c>
      <c r="CR87" s="5" t="str">
        <f t="shared" si="118"/>
        <v>Defensive</v>
      </c>
      <c r="CS87" s="5" t="str">
        <f t="shared" si="119"/>
        <v>Defensive</v>
      </c>
      <c r="CT87" s="5" t="str">
        <f t="shared" si="120"/>
        <v>Defensive</v>
      </c>
      <c r="CU87" s="5" t="str">
        <f t="shared" si="121"/>
        <v>Defensive</v>
      </c>
      <c r="CV87" s="5" t="b">
        <f t="shared" si="122"/>
        <v>0</v>
      </c>
      <c r="CW87" s="5"/>
      <c r="CX87" s="5"/>
      <c r="CY87" s="5"/>
      <c r="CZ87" s="5"/>
    </row>
    <row r="88" spans="1:104" ht="15" hidden="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0" t="str">
        <f>IF($J$24="Español","Esquivar",(IF($J$24="Deutsch","Gewandt",(IF($J$24="Français","Libération contrôlée","Defensive")))))</f>
        <v>Defensive</v>
      </c>
      <c r="BT88" s="161" t="s">
        <v>193</v>
      </c>
      <c r="BU88" s="180" t="str">
        <f>IF($J$24="Español","Esquivar",(IF($J$24="Deutsch","Gewandt",(IF($J$24="Français","Libération contrôlée","Defensive")))))</f>
        <v>Defensive</v>
      </c>
      <c r="BV88" s="161" t="s">
        <v>193</v>
      </c>
      <c r="BW88" s="180" t="str">
        <f>IF($J$24="Español","Esquivar",(IF($J$24="Deutsch","Gewandt",(IF($J$24="Français","Libération contrôlée","Defensive")))))</f>
        <v>Defensive</v>
      </c>
      <c r="BX88" s="161" t="s">
        <v>193</v>
      </c>
      <c r="BY88" s="205" t="str">
        <f>IF($J$24="Español","Esquivar",(IF($J$24="Deutsch","Gewandt",(IF($J$24="Français","Libération contrôlée","Defensive")))))</f>
        <v>Defensive</v>
      </c>
      <c r="BZ88" s="161" t="s">
        <v>193</v>
      </c>
      <c r="CA88" s="60"/>
      <c r="CB88" s="4"/>
      <c r="CC88" s="205" t="str">
        <f>IF($J$24="Español","Pies Firmes",(IF($J$24="Deutsch","Heimtückisch",(IF($J$24="Français","Réception plongeante ","Leap")))))</f>
        <v>Leap</v>
      </c>
      <c r="CD88" s="207" t="s">
        <v>193</v>
      </c>
      <c r="CE88" s="202"/>
      <c r="CF88" s="207"/>
      <c r="CG88" s="207" t="str">
        <f t="shared" si="107"/>
        <v>Jump Up</v>
      </c>
      <c r="CH88" s="207" t="str">
        <f t="shared" si="108"/>
        <v>Jump Up</v>
      </c>
      <c r="CI88" s="5" t="str">
        <f t="shared" si="109"/>
        <v>Jump Up</v>
      </c>
      <c r="CJ88" s="5" t="b">
        <f t="shared" si="110"/>
        <v>0</v>
      </c>
      <c r="CK88" s="5" t="b">
        <f t="shared" si="111"/>
        <v>0</v>
      </c>
      <c r="CL88" s="5" t="b">
        <f t="shared" si="112"/>
        <v>0</v>
      </c>
      <c r="CM88" s="5" t="b">
        <f t="shared" si="113"/>
        <v>0</v>
      </c>
      <c r="CN88" s="5" t="str">
        <f t="shared" si="114"/>
        <v>Jump Up</v>
      </c>
      <c r="CO88" s="5" t="str">
        <f t="shared" si="115"/>
        <v>Jump Up</v>
      </c>
      <c r="CP88" s="5" t="str">
        <f t="shared" si="116"/>
        <v>Jump Up</v>
      </c>
      <c r="CQ88" s="5" t="str">
        <f t="shared" si="117"/>
        <v>Jump Up</v>
      </c>
      <c r="CR88" s="5" t="str">
        <f t="shared" si="118"/>
        <v>Jump Up</v>
      </c>
      <c r="CS88" s="5" t="str">
        <f t="shared" si="119"/>
        <v>Jump Up</v>
      </c>
      <c r="CT88" s="5" t="str">
        <f t="shared" si="120"/>
        <v>Jump Up</v>
      </c>
      <c r="CU88" s="5" t="str">
        <f t="shared" si="121"/>
        <v>Jump Up</v>
      </c>
      <c r="CV88" s="5" t="b">
        <f t="shared" si="122"/>
        <v>0</v>
      </c>
      <c r="CW88" s="5"/>
      <c r="CX88" s="5"/>
      <c r="CY88" s="5"/>
      <c r="CZ88" s="5"/>
    </row>
    <row r="89" spans="1:104" ht="15" hidden="1" customHeight="1">
      <c r="A89" s="5"/>
      <c r="B89" s="357"/>
      <c r="C89" s="356"/>
      <c r="D89" s="356"/>
      <c r="E89" s="356"/>
      <c r="F89" s="356"/>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0" t="str">
        <f>IF($J$24="Español","Furtivo",(IF($J$24="Deutsch","Hechtsprung",(IF($J$24="Français","Réception ","Jump Up")))))</f>
        <v>Jump Up</v>
      </c>
      <c r="BT89" s="161" t="s">
        <v>193</v>
      </c>
      <c r="BU89" s="180" t="str">
        <f>IF($J$24="Español","Furtivo",(IF($J$24="Deutsch","Hechtsprung",(IF($J$24="Français","Réception ","Jump Up")))))</f>
        <v>Jump Up</v>
      </c>
      <c r="BV89" s="161" t="s">
        <v>193</v>
      </c>
      <c r="BW89" s="180" t="str">
        <f>IF($J$24="Español","Furtivo",(IF($J$24="Deutsch","Hechtsprung",(IF($J$24="Français","Réception ","Jump Up")))))</f>
        <v>Jump Up</v>
      </c>
      <c r="BX89" s="161" t="s">
        <v>193</v>
      </c>
      <c r="BY89" s="205" t="str">
        <f>IF($J$24="Español","Furtivo",(IF($J$24="Deutsch","Hechtsprung",(IF($J$24="Français","Réception ","Jump Up")))))</f>
        <v>Jump Up</v>
      </c>
      <c r="BZ89" s="161" t="s">
        <v>193</v>
      </c>
      <c r="CA89" s="60"/>
      <c r="CB89" s="4"/>
      <c r="CC89" s="205" t="str">
        <f>IF($J$24="Español","Placaje Heroico",(IF($J$24="Deutsch","Sichere Hände",(IF($J$24="Français","Rétablissement","Safe Pair of Hands")))))</f>
        <v>Safe Pair of Hands</v>
      </c>
      <c r="CD89" s="207" t="s">
        <v>193</v>
      </c>
      <c r="CE89" s="202" t="s">
        <v>241</v>
      </c>
      <c r="CF89" s="207"/>
      <c r="CG89" s="207" t="str">
        <f t="shared" si="107"/>
        <v>Leap</v>
      </c>
      <c r="CH89" s="207" t="str">
        <f t="shared" si="108"/>
        <v>Leap</v>
      </c>
      <c r="CI89" s="5" t="str">
        <f t="shared" si="109"/>
        <v>Leap</v>
      </c>
      <c r="CJ89" s="5" t="b">
        <f t="shared" si="110"/>
        <v>0</v>
      </c>
      <c r="CK89" s="5" t="b">
        <f t="shared" si="111"/>
        <v>0</v>
      </c>
      <c r="CL89" s="5" t="b">
        <f t="shared" si="112"/>
        <v>0</v>
      </c>
      <c r="CM89" s="5" t="b">
        <f t="shared" si="113"/>
        <v>0</v>
      </c>
      <c r="CN89" s="5" t="str">
        <f t="shared" si="114"/>
        <v>Leap</v>
      </c>
      <c r="CO89" s="5" t="str">
        <f t="shared" si="115"/>
        <v>Leap</v>
      </c>
      <c r="CP89" s="5" t="str">
        <f t="shared" si="116"/>
        <v>Leap</v>
      </c>
      <c r="CQ89" s="5" t="str">
        <f t="shared" si="117"/>
        <v>Leap</v>
      </c>
      <c r="CR89" s="5" t="str">
        <f t="shared" si="118"/>
        <v>Leap</v>
      </c>
      <c r="CS89" s="5" t="str">
        <f t="shared" si="119"/>
        <v>Leap</v>
      </c>
      <c r="CT89" s="5" t="str">
        <f t="shared" si="120"/>
        <v>Leap</v>
      </c>
      <c r="CU89" s="5" t="str">
        <f t="shared" si="121"/>
        <v>Leap</v>
      </c>
      <c r="CV89" s="5" t="b">
        <f t="shared" si="122"/>
        <v>0</v>
      </c>
      <c r="CW89" s="5"/>
      <c r="CX89" s="5"/>
      <c r="CY89" s="5"/>
      <c r="CZ89" s="5"/>
    </row>
    <row r="90" spans="1:104" ht="15" hidden="1"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0" t="str">
        <f>IF($J$24="Español","Pies Firmes",(IF($J$24="Deutsch","Heimtückisch",(IF($J$24="Français","Réception plongeante ","Leap")))))</f>
        <v>Leap</v>
      </c>
      <c r="BT90" s="161" t="s">
        <v>193</v>
      </c>
      <c r="BU90" s="180" t="str">
        <f>IF($J$24="Español","Pies Firmes",(IF($J$24="Deutsch","Heimtückisch",(IF($J$24="Français","Réception plongeante ","Leap")))))</f>
        <v>Leap</v>
      </c>
      <c r="BV90" s="161" t="s">
        <v>193</v>
      </c>
      <c r="BW90" s="180" t="str">
        <f>IF($J$24="Español","Pies Firmes",(IF($J$24="Deutsch","Heimtückisch",(IF($J$24="Français","Réception plongeante ","Leap")))))</f>
        <v>Leap</v>
      </c>
      <c r="BX90" s="161" t="s">
        <v>193</v>
      </c>
      <c r="BY90" s="205" t="str">
        <f>IF($J$24="Español","Pies Firmes",(IF($J$24="Deutsch","Heimtückisch",(IF($J$24="Français","Réception plongeante ","Leap")))))</f>
        <v>Leap</v>
      </c>
      <c r="BZ90" s="161" t="s">
        <v>193</v>
      </c>
      <c r="CA90" s="60"/>
      <c r="CB90" s="4"/>
      <c r="CC90" s="205" t="str">
        <f>IF($J$24="Español","Proteger el Cuero",(IF($J$24="Deutsch","Springen",(IF($J$24="Français","Saut","Sidestep")))))</f>
        <v>Sidestep</v>
      </c>
      <c r="CD90" s="207" t="s">
        <v>193</v>
      </c>
      <c r="CE90" s="202"/>
      <c r="CF90" s="207"/>
      <c r="CG90" s="207" t="str">
        <f t="shared" si="107"/>
        <v>Safe Pair of Hands</v>
      </c>
      <c r="CH90" s="207" t="str">
        <f t="shared" si="108"/>
        <v>Safe Pair of Hands</v>
      </c>
      <c r="CI90" s="5" t="str">
        <f t="shared" si="109"/>
        <v>Safe Pair of Hands</v>
      </c>
      <c r="CJ90" s="5" t="b">
        <f t="shared" si="110"/>
        <v>0</v>
      </c>
      <c r="CK90" s="5" t="b">
        <f t="shared" si="111"/>
        <v>0</v>
      </c>
      <c r="CL90" s="5" t="b">
        <f t="shared" si="112"/>
        <v>0</v>
      </c>
      <c r="CM90" s="5" t="b">
        <f t="shared" si="113"/>
        <v>0</v>
      </c>
      <c r="CN90" s="5" t="str">
        <f t="shared" si="114"/>
        <v>Safe Pair of Hands</v>
      </c>
      <c r="CO90" s="5" t="str">
        <f t="shared" si="115"/>
        <v>Safe Pair of Hands</v>
      </c>
      <c r="CP90" s="5" t="str">
        <f t="shared" si="116"/>
        <v>Safe Pair of Hands</v>
      </c>
      <c r="CQ90" s="5" t="str">
        <f t="shared" si="117"/>
        <v>Safe Pair of Hands</v>
      </c>
      <c r="CR90" s="5" t="str">
        <f t="shared" si="118"/>
        <v>Safe Pair of Hands</v>
      </c>
      <c r="CS90" s="5" t="str">
        <f t="shared" si="119"/>
        <v>Safe Pair of Hands</v>
      </c>
      <c r="CT90" s="5" t="str">
        <f t="shared" si="120"/>
        <v>Safe Pair of Hands</v>
      </c>
      <c r="CU90" s="5" t="str">
        <f t="shared" si="121"/>
        <v>Safe Pair of Hands</v>
      </c>
      <c r="CV90" s="5" t="b">
        <f t="shared" si="122"/>
        <v>0</v>
      </c>
      <c r="CW90" s="5"/>
      <c r="CX90" s="5"/>
      <c r="CY90" s="5"/>
      <c r="CZ90" s="5"/>
    </row>
    <row r="91" spans="1:104" ht="15" hidden="1"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0" t="str">
        <f>IF($J$24="Español","Placaje Heroico",(IF($J$24="Deutsch","Sichere Hände",(IF($J$24="Français","Rétablissement","Safe Pair of Hands")))))</f>
        <v>Safe Pair of Hands</v>
      </c>
      <c r="BT91" s="161" t="s">
        <v>193</v>
      </c>
      <c r="BU91" s="180" t="str">
        <f>IF($J$24="Español","Placaje Heroico",(IF($J$24="Deutsch","Sichere Hände",(IF($J$24="Français","Rétablissement","Safe Pair of Hands")))))</f>
        <v>Safe Pair of Hands</v>
      </c>
      <c r="BV91" s="161" t="s">
        <v>193</v>
      </c>
      <c r="BW91" s="180" t="str">
        <f>IF($J$24="Español","Placaje Heroico",(IF($J$24="Deutsch","Sichere Hände",(IF($J$24="Français","Rétablissement","Safe Pair of Hands")))))</f>
        <v>Safe Pair of Hands</v>
      </c>
      <c r="BX91" s="161" t="s">
        <v>193</v>
      </c>
      <c r="BY91" s="205" t="str">
        <f>IF($J$24="Español","Placaje Heroico",(IF($J$24="Deutsch","Sichere Hände",(IF($J$24="Français","Rétablissement","Safe Pair of Hands")))))</f>
        <v>Safe Pair of Hands</v>
      </c>
      <c r="BZ91" s="161" t="s">
        <v>193</v>
      </c>
      <c r="CA91" s="207"/>
      <c r="CB91" s="207"/>
      <c r="CC91" s="205" t="str">
        <f>IF($J$24="Español","Recepción Heroica",(IF($J$24="Deutsch","Sprinten",(IF($J$24="Français","Sprint","Sneaky Git")))))</f>
        <v>Sneaky Git</v>
      </c>
      <c r="CD91" s="207" t="s">
        <v>193</v>
      </c>
      <c r="CE91" s="202"/>
      <c r="CF91" s="207"/>
      <c r="CG91" s="207" t="str">
        <f t="shared" si="107"/>
        <v>Sidestep</v>
      </c>
      <c r="CH91" s="207" t="str">
        <f t="shared" si="108"/>
        <v>Sidestep</v>
      </c>
      <c r="CI91" s="5" t="str">
        <f t="shared" si="109"/>
        <v>Sidestep</v>
      </c>
      <c r="CJ91" s="5" t="b">
        <f t="shared" si="110"/>
        <v>0</v>
      </c>
      <c r="CK91" s="5" t="b">
        <f t="shared" si="111"/>
        <v>0</v>
      </c>
      <c r="CL91" s="5" t="b">
        <f t="shared" si="112"/>
        <v>0</v>
      </c>
      <c r="CM91" s="5" t="b">
        <f t="shared" si="113"/>
        <v>0</v>
      </c>
      <c r="CN91" s="5" t="str">
        <f t="shared" si="114"/>
        <v>Sidestep</v>
      </c>
      <c r="CO91" s="5" t="str">
        <f t="shared" si="115"/>
        <v>Sidestep</v>
      </c>
      <c r="CP91" s="5" t="str">
        <f t="shared" si="116"/>
        <v>Sidestep</v>
      </c>
      <c r="CQ91" s="5" t="str">
        <f t="shared" si="117"/>
        <v>Sidestep</v>
      </c>
      <c r="CR91" s="5" t="str">
        <f t="shared" si="118"/>
        <v>Sidestep</v>
      </c>
      <c r="CS91" s="5" t="str">
        <f t="shared" si="119"/>
        <v>Sidestep</v>
      </c>
      <c r="CT91" s="5" t="str">
        <f t="shared" si="120"/>
        <v>Sidestep</v>
      </c>
      <c r="CU91" s="5" t="str">
        <f t="shared" si="121"/>
        <v>Sidestep</v>
      </c>
      <c r="CV91" s="5" t="b">
        <f t="shared" si="122"/>
        <v>0</v>
      </c>
      <c r="CW91" s="5"/>
      <c r="CX91" s="5"/>
      <c r="CY91" s="5"/>
      <c r="CZ91" s="5"/>
    </row>
    <row r="92" spans="1:104" ht="15" hidden="1"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0" t="str">
        <f>IF($J$24="Español","Proteger el Cuero",(IF($J$24="Deutsch","Springen",(IF($J$24="Français","Saut","Sidestep")))))</f>
        <v>Sidestep</v>
      </c>
      <c r="BT92" s="161" t="s">
        <v>193</v>
      </c>
      <c r="BU92" s="180" t="str">
        <f>IF($J$24="Español","Proteger el Cuero",(IF($J$24="Deutsch","Springen",(IF($J$24="Français","Saut","Sidestep")))))</f>
        <v>Sidestep</v>
      </c>
      <c r="BV92" s="161" t="s">
        <v>193</v>
      </c>
      <c r="BW92" s="180" t="str">
        <f>IF($J$24="Español","Proteger el Cuero",(IF($J$24="Deutsch","Springen",(IF($J$24="Français","Saut","Sidestep")))))</f>
        <v>Sidestep</v>
      </c>
      <c r="BX92" s="161" t="s">
        <v>193</v>
      </c>
      <c r="BY92" s="205" t="str">
        <f>IF($J$24="Español","Proteger el Cuero",(IF($J$24="Deutsch","Springen",(IF($J$24="Français","Saut","Sidestep")))))</f>
        <v>Sidestep</v>
      </c>
      <c r="BZ92" s="161" t="s">
        <v>193</v>
      </c>
      <c r="CA92" s="207"/>
      <c r="CB92" s="207"/>
      <c r="CC92" s="205" t="str">
        <f>IF($J$24="Español","Romper Defensas",(IF($J$24="Deutsch","Sprintensicher",(IF($J$24="Français","Sournois","Sprint")))))</f>
        <v>Sprint</v>
      </c>
      <c r="CD92" s="207" t="s">
        <v>193</v>
      </c>
      <c r="CE92" s="202"/>
      <c r="CF92" s="207"/>
      <c r="CG92" s="207" t="str">
        <f t="shared" si="107"/>
        <v>Sneaky Git</v>
      </c>
      <c r="CH92" s="207" t="str">
        <f t="shared" si="108"/>
        <v>Sneaky Git</v>
      </c>
      <c r="CI92" s="5" t="str">
        <f t="shared" si="109"/>
        <v>Sneaky Git</v>
      </c>
      <c r="CJ92" s="5" t="b">
        <f t="shared" si="110"/>
        <v>0</v>
      </c>
      <c r="CK92" s="5" t="b">
        <f t="shared" si="111"/>
        <v>0</v>
      </c>
      <c r="CL92" s="5" t="b">
        <f t="shared" si="112"/>
        <v>0</v>
      </c>
      <c r="CM92" s="5" t="b">
        <f t="shared" si="113"/>
        <v>0</v>
      </c>
      <c r="CN92" s="5" t="str">
        <f t="shared" si="114"/>
        <v>Sneaky Git</v>
      </c>
      <c r="CO92" s="5" t="str">
        <f t="shared" si="115"/>
        <v>Sneaky Git</v>
      </c>
      <c r="CP92" s="5" t="str">
        <f t="shared" si="116"/>
        <v>Sneaky Git</v>
      </c>
      <c r="CQ92" s="5" t="str">
        <f t="shared" si="117"/>
        <v>Sneaky Git</v>
      </c>
      <c r="CR92" s="5" t="str">
        <f t="shared" si="118"/>
        <v>Sneaky Git</v>
      </c>
      <c r="CS92" s="5" t="str">
        <f t="shared" si="119"/>
        <v>Sneaky Git</v>
      </c>
      <c r="CT92" s="5" t="str">
        <f t="shared" si="120"/>
        <v>Sneaky Git</v>
      </c>
      <c r="CU92" s="5" t="str">
        <f t="shared" si="121"/>
        <v>Sneaky Git</v>
      </c>
      <c r="CV92" s="5" t="b">
        <f t="shared" si="122"/>
        <v>0</v>
      </c>
      <c r="CW92" s="5"/>
      <c r="CX92" s="5"/>
      <c r="CY92" s="5"/>
      <c r="CZ92" s="5"/>
    </row>
    <row r="93" spans="1:104" ht="15" hidden="1"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0" t="str">
        <f>IF($J$24="Español","Recepción Heroica",(IF($J$24="Deutsch","Sprinten",(IF($J$24="Français","Sprint","Sneaky Git")))))</f>
        <v>Sneaky Git</v>
      </c>
      <c r="BT93" s="161" t="s">
        <v>193</v>
      </c>
      <c r="BU93" s="180" t="str">
        <f>IF($J$24="Español","Recepción Heroica",(IF($J$24="Deutsch","Sprinten",(IF($J$24="Français","Sprint","Sneaky Git")))))</f>
        <v>Sneaky Git</v>
      </c>
      <c r="BV93" s="161" t="s">
        <v>193</v>
      </c>
      <c r="BW93" s="180" t="str">
        <f>IF($J$24="Español","Recepción Heroica",(IF($J$24="Deutsch","Sprinten",(IF($J$24="Français","Sprint","Sneaky Git")))))</f>
        <v>Sneaky Git</v>
      </c>
      <c r="BX93" s="161" t="s">
        <v>193</v>
      </c>
      <c r="BY93" s="205" t="str">
        <f>IF($J$24="Español","Recepción Heroica",(IF($J$24="Deutsch","Sprinten",(IF($J$24="Français","Sprint","Sneaky Git")))))</f>
        <v>Sneaky Git</v>
      </c>
      <c r="BZ93" s="161" t="s">
        <v>193</v>
      </c>
      <c r="CA93" s="207"/>
      <c r="CB93" s="207"/>
      <c r="CC93" s="205" t="str">
        <f>IF($J$24="Español","Saltar",(IF($J$24="Deutsch","Wehrhaft",(IF($J$24="Français","Tacle plongeant ","Sure Feet")))))</f>
        <v>Sure Feet</v>
      </c>
      <c r="CD93" s="207" t="s">
        <v>193</v>
      </c>
      <c r="CE93" s="202"/>
      <c r="CF93" s="207"/>
      <c r="CG93" s="207" t="str">
        <f t="shared" si="107"/>
        <v>Sprint</v>
      </c>
      <c r="CH93" s="207" t="str">
        <f t="shared" si="108"/>
        <v>Sprint</v>
      </c>
      <c r="CI93" s="5" t="str">
        <f t="shared" si="109"/>
        <v>Sprint</v>
      </c>
      <c r="CJ93" s="5" t="b">
        <f t="shared" si="110"/>
        <v>0</v>
      </c>
      <c r="CK93" s="5" t="b">
        <f t="shared" si="111"/>
        <v>0</v>
      </c>
      <c r="CL93" s="5" t="b">
        <f t="shared" si="112"/>
        <v>0</v>
      </c>
      <c r="CM93" s="5" t="b">
        <f t="shared" si="113"/>
        <v>0</v>
      </c>
      <c r="CN93" s="5" t="str">
        <f t="shared" si="114"/>
        <v>Sprint</v>
      </c>
      <c r="CO93" s="5" t="str">
        <f t="shared" si="115"/>
        <v>Sprint</v>
      </c>
      <c r="CP93" s="5" t="str">
        <f t="shared" si="116"/>
        <v>Sprint</v>
      </c>
      <c r="CQ93" s="5" t="str">
        <f t="shared" si="117"/>
        <v>Sprint</v>
      </c>
      <c r="CR93" s="5" t="str">
        <f t="shared" si="118"/>
        <v>Sprint</v>
      </c>
      <c r="CS93" s="5" t="str">
        <f t="shared" si="119"/>
        <v>Sprint</v>
      </c>
      <c r="CT93" s="5" t="str">
        <f t="shared" si="120"/>
        <v>Sprint</v>
      </c>
      <c r="CU93" s="5" t="str">
        <f t="shared" si="121"/>
        <v>Sprint</v>
      </c>
      <c r="CV93" s="5" t="b">
        <f t="shared" si="122"/>
        <v>0</v>
      </c>
      <c r="CW93" s="5"/>
      <c r="CX93" s="5"/>
      <c r="CY93" s="5"/>
      <c r="CZ93" s="5"/>
    </row>
    <row r="94" spans="1:104" ht="15" hidden="1"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0" t="str">
        <f>IF($J$24="Español","Romper Defensas",(IF($J$24="Deutsch","Sprintensicher",(IF($J$24="Français","Sournois","Sprint")))))</f>
        <v>Sprint</v>
      </c>
      <c r="BT94" s="161" t="s">
        <v>193</v>
      </c>
      <c r="BU94" s="180" t="str">
        <f>IF($J$24="Español","Romper Defensas",(IF($J$24="Deutsch","Sprintensicher",(IF($J$24="Français","Sournois","Sprint")))))</f>
        <v>Sprint</v>
      </c>
      <c r="BV94" s="161" t="s">
        <v>193</v>
      </c>
      <c r="BW94" s="180" t="str">
        <f>IF($J$24="Español","Romper Defensas",(IF($J$24="Deutsch","Sprintensicher",(IF($J$24="Français","Sournois","Sprint")))))</f>
        <v>Sprint</v>
      </c>
      <c r="BX94" s="161" t="s">
        <v>193</v>
      </c>
      <c r="BY94" s="205" t="str">
        <f>IF($J$24="Español","Romper Defensas",(IF($J$24="Deutsch","Sprintensicher",(IF($J$24="Français","Sournois","Sprint")))))</f>
        <v>Sprint</v>
      </c>
      <c r="BZ94" s="161" t="s">
        <v>193</v>
      </c>
      <c r="CA94" s="207"/>
      <c r="CB94" s="207"/>
      <c r="CC94" s="161" t="str">
        <f>IF($J$24="Español","Atento al Balón",(IF($J$24="Deutsch","Abspiel",(IF($J$24="Français","Canonnier","Accurate")))))</f>
        <v>Accurate</v>
      </c>
      <c r="CD94" s="207" t="s">
        <v>195</v>
      </c>
      <c r="CE94" s="202"/>
      <c r="CF94" s="207"/>
      <c r="CG94" s="207" t="str">
        <f t="shared" si="107"/>
        <v>Sure Feet</v>
      </c>
      <c r="CH94" s="207" t="str">
        <f t="shared" si="108"/>
        <v>Sure Feet</v>
      </c>
      <c r="CI94" s="5" t="str">
        <f t="shared" si="109"/>
        <v>Sure Feet</v>
      </c>
      <c r="CJ94" s="5" t="b">
        <f t="shared" si="110"/>
        <v>0</v>
      </c>
      <c r="CK94" s="5" t="b">
        <f t="shared" si="111"/>
        <v>0</v>
      </c>
      <c r="CL94" s="5" t="b">
        <f t="shared" si="112"/>
        <v>0</v>
      </c>
      <c r="CM94" s="5" t="b">
        <f t="shared" si="113"/>
        <v>0</v>
      </c>
      <c r="CN94" s="5" t="str">
        <f t="shared" si="114"/>
        <v>Sure Feet</v>
      </c>
      <c r="CO94" s="5" t="str">
        <f t="shared" si="115"/>
        <v>Sure Feet</v>
      </c>
      <c r="CP94" s="5" t="str">
        <f t="shared" si="116"/>
        <v>Sure Feet</v>
      </c>
      <c r="CQ94" s="5" t="str">
        <f t="shared" si="117"/>
        <v>Sure Feet</v>
      </c>
      <c r="CR94" s="5" t="str">
        <f t="shared" si="118"/>
        <v>Sure Feet</v>
      </c>
      <c r="CS94" s="5" t="str">
        <f t="shared" si="119"/>
        <v>Sure Feet</v>
      </c>
      <c r="CT94" s="5" t="str">
        <f t="shared" si="120"/>
        <v>Sure Feet</v>
      </c>
      <c r="CU94" s="5" t="str">
        <f t="shared" si="121"/>
        <v>Sure Feet</v>
      </c>
      <c r="CV94" s="5" t="b">
        <f t="shared" si="122"/>
        <v>0</v>
      </c>
      <c r="CW94" s="5"/>
      <c r="CX94" s="5"/>
      <c r="CY94" s="5"/>
      <c r="CZ94" s="5"/>
    </row>
    <row r="95" spans="1:104" ht="15" hidden="1"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0" t="str">
        <f>IF($J$24="Español","Saltar",(IF($J$24="Deutsch","Wehrhaft",(IF($J$24="Français","Tacle plongeant ","Sure Feet")))))</f>
        <v>Sure Feet</v>
      </c>
      <c r="BT95" s="161" t="s">
        <v>193</v>
      </c>
      <c r="BU95" s="180" t="str">
        <f>IF($J$24="Español","Saltar",(IF($J$24="Deutsch","Wehrhaft",(IF($J$24="Français","Tacle plongeant ","Sure Feet")))))</f>
        <v>Sure Feet</v>
      </c>
      <c r="BV95" s="161" t="s">
        <v>193</v>
      </c>
      <c r="BW95" s="180" t="str">
        <f>IF($J$24="Español","Saltar",(IF($J$24="Deutsch","Wehrhaft",(IF($J$24="Français","Tacle plongeant ","Sure Feet")))))</f>
        <v>Sure Feet</v>
      </c>
      <c r="BX95" s="161" t="s">
        <v>193</v>
      </c>
      <c r="BY95" s="205" t="str">
        <f>IF($J$24="Español","Saltar",(IF($J$24="Deutsch","Wehrhaft",(IF($J$24="Français","Tacle plongeant ","Sure Feet")))))</f>
        <v>Sure Feet</v>
      </c>
      <c r="BZ95" s="161" t="s">
        <v>193</v>
      </c>
      <c r="CA95" s="207"/>
      <c r="CB95" s="207"/>
      <c r="CC95" s="161" t="str">
        <f>IF($J$24="Español","Cañonero",(IF($J$24="Deutsch","Hau wech das Leder",(IF($J$24="Français","Chef","Cannoneer")))))</f>
        <v>Cannoneer</v>
      </c>
      <c r="CD95" s="207" t="s">
        <v>195</v>
      </c>
      <c r="CE95" s="202"/>
      <c r="CF95" s="207"/>
      <c r="CG95" s="207" t="str">
        <f t="shared" si="107"/>
        <v>Accurate</v>
      </c>
      <c r="CH95" s="207" t="str">
        <f t="shared" si="108"/>
        <v>Accurate</v>
      </c>
      <c r="CI95" s="5" t="str">
        <f t="shared" si="109"/>
        <v>Accurate</v>
      </c>
      <c r="CJ95" s="5" t="b">
        <f t="shared" si="110"/>
        <v>0</v>
      </c>
      <c r="CK95" s="5" t="b">
        <f t="shared" si="111"/>
        <v>0</v>
      </c>
      <c r="CL95" s="5" t="b">
        <f t="shared" si="112"/>
        <v>0</v>
      </c>
      <c r="CM95" s="5" t="b">
        <f t="shared" si="113"/>
        <v>0</v>
      </c>
      <c r="CN95" s="5" t="str">
        <f t="shared" si="114"/>
        <v>Arm Bar</v>
      </c>
      <c r="CO95" s="5" t="str">
        <f t="shared" si="115"/>
        <v>Arm Bar</v>
      </c>
      <c r="CP95" s="5" t="str">
        <f t="shared" si="116"/>
        <v>Arm Bar</v>
      </c>
      <c r="CQ95" s="5" t="str">
        <f t="shared" si="117"/>
        <v>Arm Bar</v>
      </c>
      <c r="CR95" s="5" t="str">
        <f t="shared" si="118"/>
        <v>Arm Bar</v>
      </c>
      <c r="CS95" s="5" t="str">
        <f t="shared" si="119"/>
        <v>Arm Bar</v>
      </c>
      <c r="CT95" s="5" t="str">
        <f t="shared" si="120"/>
        <v>Arm Bar</v>
      </c>
      <c r="CU95" s="5" t="str">
        <f t="shared" si="121"/>
        <v>Arm Bar</v>
      </c>
      <c r="CV95" s="5" t="b">
        <f t="shared" si="122"/>
        <v>0</v>
      </c>
      <c r="CW95" s="5"/>
      <c r="CX95" s="5"/>
      <c r="CY95" s="5"/>
      <c r="CZ95" s="5"/>
    </row>
    <row r="96" spans="1:104" ht="15" hidden="1"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0" t="str">
        <f>IF($J$24="Español","Abrirse Paso",(IF($J$24="Deutsch","Armhebel",(IF($J$24="Français","Bagarre","Arm Bar")))))</f>
        <v>Arm Bar</v>
      </c>
      <c r="BV96" s="161" t="s">
        <v>194</v>
      </c>
      <c r="BW96" s="161" t="str">
        <f>IF($J$24="Español","Atento al Balón",(IF($J$24="Deutsch","Abspiel",(IF($J$24="Français","Canonnier","Accurate")))))</f>
        <v>Accurate</v>
      </c>
      <c r="BX96" s="161" t="s">
        <v>195</v>
      </c>
      <c r="BY96" s="205" t="str">
        <f>IF($J$24="Español","Abrirse Paso",(IF($J$24="Deutsch","Armhebel",(IF($J$24="Français","Bagarre","Arm Bar")))))</f>
        <v>Arm Bar</v>
      </c>
      <c r="BZ96" s="161" t="s">
        <v>194</v>
      </c>
      <c r="CA96" s="207"/>
      <c r="CB96" s="207"/>
      <c r="CC96" s="205" t="str">
        <f>IF($J$24="Español","Dejada",(IF($J$24="Deutsch","Im Laufen passen",(IF($J$24="Français","Délestage","Cloud Burster")))))</f>
        <v>Cloud Burster</v>
      </c>
      <c r="CD96" s="207" t="s">
        <v>195</v>
      </c>
      <c r="CE96" s="202"/>
      <c r="CF96" s="207"/>
      <c r="CG96" s="207" t="str">
        <f t="shared" si="107"/>
        <v>Cannoneer</v>
      </c>
      <c r="CH96" s="207" t="str">
        <f t="shared" si="108"/>
        <v>Cannoneer</v>
      </c>
      <c r="CI96" s="5" t="str">
        <f t="shared" si="109"/>
        <v>Cannoneer</v>
      </c>
      <c r="CJ96" s="5" t="b">
        <f t="shared" si="110"/>
        <v>0</v>
      </c>
      <c r="CK96" s="5" t="b">
        <f t="shared" si="111"/>
        <v>0</v>
      </c>
      <c r="CL96" s="5" t="b">
        <f t="shared" si="112"/>
        <v>0</v>
      </c>
      <c r="CM96" s="5" t="b">
        <f t="shared" si="113"/>
        <v>0</v>
      </c>
      <c r="CN96" s="5" t="str">
        <f t="shared" si="114"/>
        <v>Brawler</v>
      </c>
      <c r="CO96" s="5" t="str">
        <f t="shared" si="115"/>
        <v>Brawler</v>
      </c>
      <c r="CP96" s="5" t="str">
        <f t="shared" si="116"/>
        <v>Brawler</v>
      </c>
      <c r="CQ96" s="5" t="str">
        <f t="shared" si="117"/>
        <v>Brawler</v>
      </c>
      <c r="CR96" s="5" t="str">
        <f t="shared" si="118"/>
        <v>Brawler</v>
      </c>
      <c r="CS96" s="5" t="str">
        <f t="shared" si="119"/>
        <v>Brawler</v>
      </c>
      <c r="CT96" s="5" t="str">
        <f t="shared" si="120"/>
        <v>Brawler</v>
      </c>
      <c r="CU96" s="5" t="str">
        <f t="shared" si="121"/>
        <v>Brawler</v>
      </c>
      <c r="CV96" s="5" t="b">
        <f t="shared" si="122"/>
        <v>0</v>
      </c>
      <c r="CW96" s="5"/>
      <c r="CX96" s="5"/>
      <c r="CY96" s="5"/>
      <c r="CZ96" s="5"/>
    </row>
    <row r="97" spans="1:104" ht="15" hidden="1"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0" t="str">
        <f>IF($J$24="Español","Apartar",(IF($J$24="Deutsch","Greifer",(IF($J$24="Français","Blocage multiple","Brawler")))))</f>
        <v>Brawler</v>
      </c>
      <c r="BV97" s="161" t="s">
        <v>194</v>
      </c>
      <c r="BW97" s="161" t="str">
        <f>IF($J$24="Español","Cañonero",(IF($J$24="Deutsch","Hau wech das Leder",(IF($J$24="Français","Chef","Cannoneer")))))</f>
        <v>Cannoneer</v>
      </c>
      <c r="BX97" s="161" t="s">
        <v>195</v>
      </c>
      <c r="BY97" s="205" t="str">
        <f>IF($J$24="Español","Apartar",(IF($J$24="Deutsch","Greifer",(IF($J$24="Français","Blocage multiple","Brawler")))))</f>
        <v>Brawler</v>
      </c>
      <c r="BZ97" s="161" t="s">
        <v>194</v>
      </c>
      <c r="CA97" s="207"/>
      <c r="CB97" s="207"/>
      <c r="CC97" s="205" t="str">
        <f>IF($J$24="Español","Líder",(IF($J$24="Deutsch","In die Wolken",(IF($J$24="Français","Fumblerooskie","Dump-Off")))))</f>
        <v>Dump-Off</v>
      </c>
      <c r="CD97" s="207" t="s">
        <v>195</v>
      </c>
      <c r="CE97" s="202"/>
      <c r="CF97" s="207"/>
      <c r="CG97" s="207" t="str">
        <f t="shared" si="107"/>
        <v>Cloud Burster</v>
      </c>
      <c r="CH97" s="207" t="str">
        <f t="shared" si="108"/>
        <v>Cloud Burster</v>
      </c>
      <c r="CI97" s="5" t="str">
        <f t="shared" si="109"/>
        <v>Cloud Burster</v>
      </c>
      <c r="CJ97" s="5" t="b">
        <f t="shared" si="110"/>
        <v>0</v>
      </c>
      <c r="CK97" s="5" t="b">
        <f t="shared" si="111"/>
        <v>0</v>
      </c>
      <c r="CL97" s="5" t="b">
        <f t="shared" si="112"/>
        <v>0</v>
      </c>
      <c r="CM97" s="5" t="b">
        <f t="shared" si="113"/>
        <v>0</v>
      </c>
      <c r="CN97" s="5" t="str">
        <f t="shared" si="114"/>
        <v>Break Tackle</v>
      </c>
      <c r="CO97" s="5" t="str">
        <f t="shared" si="115"/>
        <v>Break Tackle</v>
      </c>
      <c r="CP97" s="5" t="str">
        <f t="shared" si="116"/>
        <v>Break Tackle</v>
      </c>
      <c r="CQ97" s="5" t="str">
        <f t="shared" si="117"/>
        <v>Break Tackle</v>
      </c>
      <c r="CR97" s="5" t="str">
        <f t="shared" si="118"/>
        <v>Break Tackle</v>
      </c>
      <c r="CS97" s="5" t="str">
        <f t="shared" si="119"/>
        <v>Break Tackle</v>
      </c>
      <c r="CT97" s="5" t="str">
        <f t="shared" si="120"/>
        <v>Break Tackle</v>
      </c>
      <c r="CU97" s="5" t="str">
        <f t="shared" si="121"/>
        <v>Break Tackle</v>
      </c>
      <c r="CV97" s="5" t="b">
        <f t="shared" si="122"/>
        <v>0</v>
      </c>
      <c r="CW97" s="5"/>
      <c r="CX97" s="5"/>
      <c r="CY97" s="5"/>
      <c r="CZ97" s="5"/>
    </row>
    <row r="98" spans="1:104" ht="1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0" t="str">
        <f>IF($J$24="Español","Dejada",(IF($J$24="Deutsch","Im Laufen passen",(IF($J$24="Français","Délestage","Cloud Burster")))))</f>
        <v>Cloud Burster</v>
      </c>
      <c r="BT98" s="161" t="s">
        <v>195</v>
      </c>
      <c r="BU98" s="180" t="str">
        <f>IF($J$24="Español","Brazo Fuerte",(IF($J$24="Deutsch","Knochenbrecher (+1)",(IF($J$24="Français","Bras musclé","Break Tackle")))))</f>
        <v>Break Tackle</v>
      </c>
      <c r="BV98" s="161" t="s">
        <v>194</v>
      </c>
      <c r="BW98" s="180" t="str">
        <f>IF($J$24="Español","Dejada",(IF($J$24="Deutsch","Im Laufen passen",(IF($J$24="Français","Délestage","Cloud Burster")))))</f>
        <v>Cloud Burster</v>
      </c>
      <c r="BX98" s="161" t="s">
        <v>195</v>
      </c>
      <c r="BY98" s="205" t="str">
        <f>IF($J$24="Español","Brazo Fuerte",(IF($J$24="Deutsch","Knochenbrecher (+1)",(IF($J$24="Français","Bras musclé","Break Tackle")))))</f>
        <v>Break Tackle</v>
      </c>
      <c r="BZ98" s="161" t="s">
        <v>194</v>
      </c>
      <c r="CA98" s="60"/>
      <c r="CB98" s="4"/>
      <c r="CC98" s="205" t="str">
        <f>IF($J$24="Español","Nervios de Acero",(IF($J$24="Deutsch","Immer am Ball",(IF($J$24="Français","Nerfs d’acier","Fumblerooskie")))))</f>
        <v>Fumblerooskie</v>
      </c>
      <c r="CD98" s="207" t="s">
        <v>195</v>
      </c>
      <c r="CE98" s="202"/>
      <c r="CF98" s="207"/>
      <c r="CG98" s="207" t="str">
        <f t="shared" si="107"/>
        <v>Dump-Off</v>
      </c>
      <c r="CH98" s="207" t="str">
        <f t="shared" si="108"/>
        <v>Dump-Off</v>
      </c>
      <c r="CI98" s="5" t="str">
        <f t="shared" si="109"/>
        <v>Dump-Off</v>
      </c>
      <c r="CJ98" s="5" t="b">
        <f t="shared" si="110"/>
        <v>0</v>
      </c>
      <c r="CK98" s="5" t="b">
        <f t="shared" si="111"/>
        <v>0</v>
      </c>
      <c r="CL98" s="5" t="b">
        <f t="shared" si="112"/>
        <v>0</v>
      </c>
      <c r="CM98" s="5" t="b">
        <f t="shared" si="113"/>
        <v>0</v>
      </c>
      <c r="CN98" s="5" t="str">
        <f t="shared" si="114"/>
        <v>Grab</v>
      </c>
      <c r="CO98" s="5" t="str">
        <f t="shared" si="115"/>
        <v>Grab</v>
      </c>
      <c r="CP98" s="5" t="str">
        <f t="shared" si="116"/>
        <v>Grab</v>
      </c>
      <c r="CQ98" s="5" t="str">
        <f t="shared" si="117"/>
        <v>Grab</v>
      </c>
      <c r="CR98" s="5" t="str">
        <f t="shared" si="118"/>
        <v>Grab</v>
      </c>
      <c r="CS98" s="5" t="str">
        <f t="shared" si="119"/>
        <v>Grab</v>
      </c>
      <c r="CT98" s="5" t="str">
        <f t="shared" si="120"/>
        <v>Grab</v>
      </c>
      <c r="CU98" s="5" t="str">
        <f t="shared" si="121"/>
        <v>Grab</v>
      </c>
      <c r="CV98" s="5" t="b">
        <f t="shared" si="122"/>
        <v>0</v>
      </c>
      <c r="CW98" s="5"/>
      <c r="CX98" s="5"/>
      <c r="CY98" s="5"/>
      <c r="CZ98" s="5"/>
    </row>
    <row r="99" spans="1:104" ht="1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0" t="str">
        <f>IF($J$24="Español","Líder",(IF($J$24="Deutsch","In die Wolken",(IF($J$24="Français","Fumblerooskie","Dump-Off")))))</f>
        <v>Dump-Off</v>
      </c>
      <c r="BT99" s="161" t="s">
        <v>195</v>
      </c>
      <c r="BU99" s="180" t="str">
        <f>IF($J$24="Español","Cabeza Dura",(IF($J$24="Deutsch","Mehrfachblock",(IF($J$24="Français","Châtaigne (+1)","Grab")))))</f>
        <v>Grab</v>
      </c>
      <c r="BV99" s="161" t="s">
        <v>194</v>
      </c>
      <c r="BW99" s="180" t="str">
        <f>IF($J$24="Español","Líder",(IF($J$24="Deutsch","In die Wolken",(IF($J$24="Français","Fumblerooskie","Dump-Off")))))</f>
        <v>Dump-Off</v>
      </c>
      <c r="BX99" s="161" t="s">
        <v>195</v>
      </c>
      <c r="BY99" s="205" t="str">
        <f>IF($J$24="Español","Cabeza Dura",(IF($J$24="Deutsch","Mehrfachblock",(IF($J$24="Français","Châtaigne (+1)","Grab")))))</f>
        <v>Grab</v>
      </c>
      <c r="BZ99" s="161" t="s">
        <v>194</v>
      </c>
      <c r="CA99" s="60"/>
      <c r="CB99" s="4"/>
      <c r="CC99" s="205" t="str">
        <f>IF($J$24="Español","Partenubes",(IF($J$24="Deutsch","Kanonier",(IF($J$24="Français","Passe","Hail Mary Pass")))))</f>
        <v>Hail Mary Pass</v>
      </c>
      <c r="CD99" s="207" t="s">
        <v>195</v>
      </c>
      <c r="CE99" s="202"/>
      <c r="CF99" s="207"/>
      <c r="CG99" s="207" t="str">
        <f t="shared" si="107"/>
        <v>Fumblerooskie</v>
      </c>
      <c r="CH99" s="207" t="str">
        <f t="shared" si="108"/>
        <v>Fumblerooskie</v>
      </c>
      <c r="CI99" s="5" t="str">
        <f t="shared" si="109"/>
        <v>Fumblerooskie</v>
      </c>
      <c r="CJ99" s="5" t="b">
        <f t="shared" si="110"/>
        <v>0</v>
      </c>
      <c r="CK99" s="5" t="b">
        <f t="shared" si="111"/>
        <v>0</v>
      </c>
      <c r="CL99" s="5" t="b">
        <f t="shared" si="112"/>
        <v>0</v>
      </c>
      <c r="CM99" s="5" t="b">
        <f t="shared" si="113"/>
        <v>0</v>
      </c>
      <c r="CN99" s="5" t="str">
        <f t="shared" si="114"/>
        <v>Guard</v>
      </c>
      <c r="CO99" s="5" t="str">
        <f t="shared" si="115"/>
        <v>Guard</v>
      </c>
      <c r="CP99" s="5" t="str">
        <f t="shared" si="116"/>
        <v>Guard</v>
      </c>
      <c r="CQ99" s="5" t="str">
        <f t="shared" si="117"/>
        <v>Guard</v>
      </c>
      <c r="CR99" s="5" t="str">
        <f t="shared" si="118"/>
        <v>Guard</v>
      </c>
      <c r="CS99" s="5" t="str">
        <f t="shared" si="119"/>
        <v>Guard</v>
      </c>
      <c r="CT99" s="5" t="str">
        <f t="shared" si="120"/>
        <v>Guard</v>
      </c>
      <c r="CU99" s="5" t="str">
        <f t="shared" si="121"/>
        <v>Guard</v>
      </c>
      <c r="CV99" s="5" t="b">
        <f t="shared" si="122"/>
        <v>0</v>
      </c>
      <c r="CW99" s="5"/>
      <c r="CX99" s="5"/>
      <c r="CY99" s="5"/>
      <c r="CZ99" s="5"/>
    </row>
    <row r="100" spans="1:104" ht="1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0" t="str">
        <f>IF($J$24="Español","Nervios de Acero",(IF($J$24="Deutsch","Immer am Ball",(IF($J$24="Français","Nerfs d’acier","Fumblerooskie")))))</f>
        <v>Fumblerooskie</v>
      </c>
      <c r="BT100" s="161" t="s">
        <v>195</v>
      </c>
      <c r="BU100" s="180" t="str">
        <f>IF($J$24="Español","Crujir",(IF($J$24="Deutsch","Ramme",(IF($J$24="Français","Clé de bras","Guard")))))</f>
        <v>Guard</v>
      </c>
      <c r="BV100" s="161" t="s">
        <v>194</v>
      </c>
      <c r="BW100" s="180" t="str">
        <f>IF($J$24="Español","Nervios de Acero",(IF($J$24="Deutsch","Immer am Ball",(IF($J$24="Français","Nerfs d’acier","Fumblerooskie")))))</f>
        <v>Fumblerooskie</v>
      </c>
      <c r="BX100" s="161" t="s">
        <v>195</v>
      </c>
      <c r="BY100" s="205" t="str">
        <f>IF($J$24="Español","Crujir",(IF($J$24="Deutsch","Ramme",(IF($J$24="Français","Clé de bras","Guard")))))</f>
        <v>Guard</v>
      </c>
      <c r="BZ100" s="161" t="s">
        <v>194</v>
      </c>
      <c r="CA100" s="60"/>
      <c r="CB100" s="4"/>
      <c r="CC100" s="205" t="str">
        <f>IF($J$24="Español","Pasar",(IF($J$24="Deutsch","Nerven aus Stahl",(IF($J$24="Français","Passe assurée","Leader")))))</f>
        <v>Leader</v>
      </c>
      <c r="CD100" s="207" t="s">
        <v>195</v>
      </c>
      <c r="CE100" s="202"/>
      <c r="CF100" s="207"/>
      <c r="CG100" s="207" t="str">
        <f t="shared" si="107"/>
        <v>Hail Mary Pass</v>
      </c>
      <c r="CH100" s="207" t="str">
        <f t="shared" si="108"/>
        <v>Hail Mary Pass</v>
      </c>
      <c r="CI100" s="5" t="str">
        <f t="shared" si="109"/>
        <v>Hail Mary Pass</v>
      </c>
      <c r="CJ100" s="5" t="b">
        <f t="shared" si="110"/>
        <v>0</v>
      </c>
      <c r="CK100" s="5" t="b">
        <f t="shared" si="111"/>
        <v>0</v>
      </c>
      <c r="CL100" s="5" t="b">
        <f t="shared" si="112"/>
        <v>0</v>
      </c>
      <c r="CM100" s="5" t="b">
        <f t="shared" si="113"/>
        <v>0</v>
      </c>
      <c r="CN100" s="5" t="str">
        <f t="shared" si="114"/>
        <v>Juggernaut</v>
      </c>
      <c r="CO100" s="5" t="str">
        <f t="shared" si="115"/>
        <v>Juggernaut</v>
      </c>
      <c r="CP100" s="5" t="str">
        <f t="shared" si="116"/>
        <v>Juggernaut</v>
      </c>
      <c r="CQ100" s="5" t="str">
        <f t="shared" si="117"/>
        <v>Juggernaut</v>
      </c>
      <c r="CR100" s="5" t="str">
        <f t="shared" si="118"/>
        <v>Juggernaut</v>
      </c>
      <c r="CS100" s="5" t="str">
        <f t="shared" si="119"/>
        <v>Juggernaut</v>
      </c>
      <c r="CT100" s="5" t="str">
        <f t="shared" si="120"/>
        <v>Juggernaut</v>
      </c>
      <c r="CU100" s="5" t="str">
        <f t="shared" si="121"/>
        <v>Juggernaut</v>
      </c>
      <c r="CV100" s="5" t="b">
        <f t="shared" si="122"/>
        <v>0</v>
      </c>
      <c r="CW100" s="5"/>
      <c r="CX100" s="5"/>
      <c r="CY100" s="5"/>
      <c r="CZ100" s="5"/>
    </row>
    <row r="101" spans="1:104" ht="1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0"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0"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5" t="str">
        <f>IF($J$24="Español","Pase a la Carrera",(IF($J$24="Deutsch","Scheinpatzer",(IF($J$24="Français","Passe dans la course","Nerves of Steel")))))</f>
        <v>Nerves of Steel</v>
      </c>
      <c r="CD101" s="207" t="s">
        <v>195</v>
      </c>
      <c r="CE101" s="202"/>
      <c r="CF101" s="207"/>
      <c r="CG101" s="207" t="str">
        <f t="shared" si="107"/>
        <v>Leader</v>
      </c>
      <c r="CH101" s="207" t="str">
        <f t="shared" si="108"/>
        <v>Leader</v>
      </c>
      <c r="CI101" s="5" t="str">
        <f t="shared" si="109"/>
        <v>Leader</v>
      </c>
      <c r="CJ101" s="5" t="b">
        <f t="shared" si="110"/>
        <v>0</v>
      </c>
      <c r="CK101" s="5" t="b">
        <f t="shared" si="111"/>
        <v>0</v>
      </c>
      <c r="CL101" s="5" t="b">
        <f t="shared" si="112"/>
        <v>0</v>
      </c>
      <c r="CM101" s="5" t="b">
        <f t="shared" si="113"/>
        <v>0</v>
      </c>
      <c r="CN101" s="5" t="str">
        <f t="shared" si="114"/>
        <v>Mighty Blow (+1)</v>
      </c>
      <c r="CO101" s="5" t="str">
        <f t="shared" si="115"/>
        <v>Mighty Blow (+1)</v>
      </c>
      <c r="CP101" s="5" t="str">
        <f t="shared" si="116"/>
        <v>Mighty Blow (+1)</v>
      </c>
      <c r="CQ101" s="5" t="str">
        <f t="shared" si="117"/>
        <v>Mighty Blow (+1)</v>
      </c>
      <c r="CR101" s="5" t="str">
        <f t="shared" si="118"/>
        <v>Mighty Blow (+1)</v>
      </c>
      <c r="CS101" s="5" t="str">
        <f t="shared" si="119"/>
        <v>Mighty Blow (+1)</v>
      </c>
      <c r="CT101" s="5" t="str">
        <f t="shared" si="120"/>
        <v>Mighty Blow (+1)</v>
      </c>
      <c r="CU101" s="5" t="str">
        <f t="shared" si="121"/>
        <v>Mighty Blow (+1)</v>
      </c>
      <c r="CV101" s="5" t="b">
        <f t="shared" si="122"/>
        <v>0</v>
      </c>
      <c r="CW101" s="5"/>
      <c r="CX101" s="5"/>
      <c r="CY101" s="5"/>
      <c r="CZ101" s="5"/>
    </row>
    <row r="102" spans="1:104" ht="15" hidden="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0"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0"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5" t="str">
        <f>IF($J$24="Español","Pase a lo Loco",(IF($J$24="Deutsch","Sicherer Pass",(IF($J$24="Français","Passe désespérée","On the Ball")))))</f>
        <v>On the Ball</v>
      </c>
      <c r="CD102" s="207" t="s">
        <v>195</v>
      </c>
      <c r="CE102" s="202"/>
      <c r="CF102" s="207"/>
      <c r="CG102" s="207" t="str">
        <f t="shared" si="107"/>
        <v>Nerves of Steel</v>
      </c>
      <c r="CH102" s="207" t="str">
        <f t="shared" si="108"/>
        <v>Nerves of Steel</v>
      </c>
      <c r="CI102" s="5" t="str">
        <f t="shared" si="109"/>
        <v>Nerves of Steel</v>
      </c>
      <c r="CJ102" s="5" t="b">
        <f t="shared" si="110"/>
        <v>0</v>
      </c>
      <c r="CK102" s="5" t="b">
        <f t="shared" si="111"/>
        <v>0</v>
      </c>
      <c r="CL102" s="5" t="b">
        <f t="shared" si="112"/>
        <v>0</v>
      </c>
      <c r="CM102" s="5" t="b">
        <f t="shared" si="113"/>
        <v>0</v>
      </c>
      <c r="CN102" s="5" t="str">
        <f t="shared" si="114"/>
        <v>Multiple Blocks</v>
      </c>
      <c r="CO102" s="5" t="str">
        <f t="shared" si="115"/>
        <v>Multiple Blocks</v>
      </c>
      <c r="CP102" s="5" t="str">
        <f t="shared" si="116"/>
        <v>Multiple Blocks</v>
      </c>
      <c r="CQ102" s="5" t="str">
        <f t="shared" si="117"/>
        <v>Multiple Blocks</v>
      </c>
      <c r="CR102" s="5" t="str">
        <f t="shared" si="118"/>
        <v>Multiple Blocks</v>
      </c>
      <c r="CS102" s="5" t="str">
        <f t="shared" si="119"/>
        <v>Multiple Blocks</v>
      </c>
      <c r="CT102" s="5" t="str">
        <f t="shared" si="120"/>
        <v>Multiple Blocks</v>
      </c>
      <c r="CU102" s="5" t="str">
        <f t="shared" si="121"/>
        <v>Multiple Blocks</v>
      </c>
      <c r="CV102" s="5" t="b">
        <f t="shared" si="122"/>
        <v>0</v>
      </c>
      <c r="CW102" s="5"/>
      <c r="CX102" s="5"/>
      <c r="CY102" s="5"/>
      <c r="CZ102" s="5"/>
    </row>
    <row r="103" spans="1:104" ht="15" hidden="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0"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0"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7"/>
      <c r="CB103" s="207"/>
      <c r="CC103" s="205" t="str">
        <f>IF($J$24="Español","Pase Precipitado",(IF($J$24="Deutsch","Teamkapitän",(IF($J$24="Français","Perce-nuage","Pass")))))</f>
        <v>Pass</v>
      </c>
      <c r="CD103" s="207" t="s">
        <v>195</v>
      </c>
      <c r="CE103" s="202"/>
      <c r="CF103" s="207"/>
      <c r="CG103" s="207" t="str">
        <f t="shared" si="107"/>
        <v>On the Ball</v>
      </c>
      <c r="CH103" s="207" t="str">
        <f t="shared" si="108"/>
        <v>On the Ball</v>
      </c>
      <c r="CI103" s="5" t="str">
        <f t="shared" si="109"/>
        <v>On the Ball</v>
      </c>
      <c r="CJ103" s="5" t="b">
        <f t="shared" si="110"/>
        <v>0</v>
      </c>
      <c r="CK103" s="5" t="b">
        <f t="shared" si="111"/>
        <v>0</v>
      </c>
      <c r="CL103" s="5" t="b">
        <f t="shared" si="112"/>
        <v>0</v>
      </c>
      <c r="CM103" s="5" t="b">
        <f t="shared" si="113"/>
        <v>0</v>
      </c>
      <c r="CN103" s="5" t="str">
        <f t="shared" si="114"/>
        <v>Pile Diver</v>
      </c>
      <c r="CO103" s="5" t="str">
        <f t="shared" si="115"/>
        <v>Pile Diver</v>
      </c>
      <c r="CP103" s="5" t="str">
        <f t="shared" si="116"/>
        <v>Pile Diver</v>
      </c>
      <c r="CQ103" s="5" t="str">
        <f t="shared" si="117"/>
        <v>Pile Diver</v>
      </c>
      <c r="CR103" s="5" t="str">
        <f t="shared" si="118"/>
        <v>Pile Diver</v>
      </c>
      <c r="CS103" s="5" t="str">
        <f t="shared" si="119"/>
        <v>Pile Diver</v>
      </c>
      <c r="CT103" s="5" t="str">
        <f t="shared" si="120"/>
        <v>Pile Diver</v>
      </c>
      <c r="CU103" s="5" t="str">
        <f t="shared" si="121"/>
        <v>Pile Diver</v>
      </c>
      <c r="CV103" s="5" t="b">
        <f t="shared" si="122"/>
        <v>0</v>
      </c>
      <c r="CW103" s="5"/>
      <c r="CX103" s="5"/>
      <c r="CY103" s="5"/>
      <c r="CZ103" s="5"/>
    </row>
    <row r="104" spans="1:104" ht="1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0"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0"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7"/>
      <c r="CB104" s="207"/>
      <c r="CC104" s="205" t="str">
        <f>IF($J$24="Español","Pase Seguro",(IF($J$24="Deutsch","Wurfsicher",(IF($J$24="Français","Précision","Running Pass")))))</f>
        <v>Running Pass</v>
      </c>
      <c r="CD104" s="207" t="s">
        <v>195</v>
      </c>
      <c r="CE104" s="202"/>
      <c r="CF104" s="207"/>
      <c r="CG104" s="207" t="str">
        <f t="shared" si="107"/>
        <v>Pass</v>
      </c>
      <c r="CH104" s="207" t="str">
        <f t="shared" si="108"/>
        <v>Pass</v>
      </c>
      <c r="CI104" s="5" t="str">
        <f t="shared" si="109"/>
        <v>Pass</v>
      </c>
      <c r="CJ104" s="5" t="b">
        <f t="shared" si="110"/>
        <v>0</v>
      </c>
      <c r="CK104" s="5" t="b">
        <f t="shared" si="111"/>
        <v>0</v>
      </c>
      <c r="CL104" s="5" t="b">
        <f t="shared" si="112"/>
        <v>0</v>
      </c>
      <c r="CM104" s="5" t="b">
        <f t="shared" si="113"/>
        <v>0</v>
      </c>
      <c r="CN104" s="5" t="str">
        <f t="shared" si="114"/>
        <v>Stand Firm</v>
      </c>
      <c r="CO104" s="5" t="str">
        <f t="shared" si="115"/>
        <v>Stand Firm</v>
      </c>
      <c r="CP104" s="5" t="str">
        <f t="shared" si="116"/>
        <v>Stand Firm</v>
      </c>
      <c r="CQ104" s="5" t="str">
        <f t="shared" si="117"/>
        <v>Stand Firm</v>
      </c>
      <c r="CR104" s="5" t="str">
        <f t="shared" si="118"/>
        <v>Stand Firm</v>
      </c>
      <c r="CS104" s="5" t="str">
        <f t="shared" si="119"/>
        <v>Stand Firm</v>
      </c>
      <c r="CT104" s="5" t="str">
        <f t="shared" si="120"/>
        <v>Stand Firm</v>
      </c>
      <c r="CU104" s="5" t="str">
        <f t="shared" si="121"/>
        <v>Stand Firm</v>
      </c>
      <c r="CV104" s="5" t="b">
        <f t="shared" si="122"/>
        <v>0</v>
      </c>
      <c r="CW104" s="5"/>
      <c r="CX104" s="5"/>
      <c r="CY104" s="5"/>
      <c r="CZ104" s="5"/>
    </row>
    <row r="105" spans="1:104" ht="1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0"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0"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7"/>
      <c r="CB105" s="207"/>
      <c r="CC105" s="205" t="str">
        <f>IF($J$24="Español","Precisión",(IF($J$24="Deutsch","Zielsicher",(IF($J$24="Français","Sur le ballon","Safe Pass")))))</f>
        <v>Safe Pass</v>
      </c>
      <c r="CD105" s="207" t="s">
        <v>195</v>
      </c>
      <c r="CE105" s="202"/>
      <c r="CF105" s="207"/>
      <c r="CG105" s="207" t="str">
        <f t="shared" si="107"/>
        <v>Running Pass</v>
      </c>
      <c r="CH105" s="207" t="str">
        <f t="shared" si="108"/>
        <v>Running Pass</v>
      </c>
      <c r="CI105" s="5" t="str">
        <f t="shared" si="109"/>
        <v>Running Pass</v>
      </c>
      <c r="CJ105" s="5" t="b">
        <f t="shared" si="110"/>
        <v>0</v>
      </c>
      <c r="CK105" s="5" t="b">
        <f t="shared" si="111"/>
        <v>0</v>
      </c>
      <c r="CL105" s="5" t="b">
        <f t="shared" si="112"/>
        <v>0</v>
      </c>
      <c r="CM105" s="5" t="b">
        <f t="shared" si="113"/>
        <v>0</v>
      </c>
      <c r="CN105" s="5" t="str">
        <f t="shared" si="114"/>
        <v>Strong Arm</v>
      </c>
      <c r="CO105" s="5" t="str">
        <f t="shared" si="115"/>
        <v>Strong Arm</v>
      </c>
      <c r="CP105" s="5" t="str">
        <f t="shared" si="116"/>
        <v>Strong Arm</v>
      </c>
      <c r="CQ105" s="5" t="str">
        <f t="shared" si="117"/>
        <v>Strong Arm</v>
      </c>
      <c r="CR105" s="5" t="str">
        <f t="shared" si="118"/>
        <v>Strong Arm</v>
      </c>
      <c r="CS105" s="5" t="str">
        <f t="shared" si="119"/>
        <v>Strong Arm</v>
      </c>
      <c r="CT105" s="5" t="str">
        <f t="shared" si="120"/>
        <v>Strong Arm</v>
      </c>
      <c r="CU105" s="5" t="str">
        <f t="shared" si="121"/>
        <v>Strong Arm</v>
      </c>
      <c r="CV105" s="5" t="b">
        <f t="shared" si="122"/>
        <v>0</v>
      </c>
      <c r="CW105" s="5"/>
      <c r="CX105" s="5"/>
      <c r="CY105" s="5"/>
      <c r="CZ105" s="5"/>
    </row>
    <row r="106" spans="1:104" ht="1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0"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0"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7"/>
      <c r="CB106" s="207"/>
      <c r="CC106" s="205" t="str">
        <f>IF($J$24="Español","Abrirse Paso",(IF($J$24="Deutsch","Armhebel",(IF($J$24="Français","Bagarre","Arm Bar")))))</f>
        <v>Arm Bar</v>
      </c>
      <c r="CD106" s="207" t="s">
        <v>194</v>
      </c>
      <c r="CE106" s="202"/>
      <c r="CF106" s="207"/>
      <c r="CG106" s="207" t="str">
        <f t="shared" si="107"/>
        <v>Safe Pass</v>
      </c>
      <c r="CH106" s="207" t="str">
        <f t="shared" si="108"/>
        <v>Safe Pass</v>
      </c>
      <c r="CI106" s="5" t="str">
        <f t="shared" si="109"/>
        <v>Safe Pass</v>
      </c>
      <c r="CJ106" s="5" t="b">
        <f t="shared" si="110"/>
        <v>0</v>
      </c>
      <c r="CK106" s="5" t="b">
        <f t="shared" si="111"/>
        <v>0</v>
      </c>
      <c r="CL106" s="5" t="b">
        <f t="shared" si="112"/>
        <v>0</v>
      </c>
      <c r="CM106" s="5" t="b">
        <f t="shared" si="113"/>
        <v>0</v>
      </c>
      <c r="CN106" s="5" t="str">
        <f t="shared" si="114"/>
        <v>Thick Skull</v>
      </c>
      <c r="CO106" s="5" t="str">
        <f t="shared" si="115"/>
        <v>Thick Skull</v>
      </c>
      <c r="CP106" s="5" t="str">
        <f t="shared" si="116"/>
        <v>Thick Skull</v>
      </c>
      <c r="CQ106" s="5" t="str">
        <f t="shared" si="117"/>
        <v>Thick Skull</v>
      </c>
      <c r="CR106" s="5" t="str">
        <f t="shared" si="118"/>
        <v>Thick Skull</v>
      </c>
      <c r="CS106" s="5" t="str">
        <f t="shared" si="119"/>
        <v>Thick Skull</v>
      </c>
      <c r="CT106" s="5" t="str">
        <f t="shared" si="120"/>
        <v>Thick Skull</v>
      </c>
      <c r="CU106" s="5" t="str">
        <f t="shared" si="121"/>
        <v>Thick Skull</v>
      </c>
      <c r="CV106" s="5" t="b">
        <f t="shared" si="122"/>
        <v>0</v>
      </c>
      <c r="CW106" s="5"/>
      <c r="CX106" s="5"/>
      <c r="CY106" s="5"/>
      <c r="CZ106" s="5"/>
    </row>
    <row r="107" spans="1:104" ht="1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0"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0"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7"/>
      <c r="CB107" s="207"/>
      <c r="CC107" s="205" t="str">
        <f>IF($J$24="Español","Apartar",(IF($J$24="Deutsch","Greifer",(IF($J$24="Français","Blocage multiple","Brawler")))))</f>
        <v>Brawler</v>
      </c>
      <c r="CD107" s="207" t="s">
        <v>194</v>
      </c>
      <c r="CE107" s="202"/>
      <c r="CF107" s="207"/>
      <c r="CG107" s="207" t="str">
        <f t="shared" si="107"/>
        <v>Arm Bar</v>
      </c>
      <c r="CH107" s="207" t="str">
        <f t="shared" si="108"/>
        <v>Arm Bar</v>
      </c>
      <c r="CI107" s="5" t="str">
        <f t="shared" si="109"/>
        <v>Arm Bar</v>
      </c>
      <c r="CJ107" s="5" t="b">
        <f t="shared" si="110"/>
        <v>0</v>
      </c>
      <c r="CK107" s="5" t="b">
        <f t="shared" si="111"/>
        <v>0</v>
      </c>
      <c r="CL107" s="5" t="b">
        <f t="shared" si="112"/>
        <v>0</v>
      </c>
      <c r="CM107" s="5" t="b">
        <f t="shared" si="113"/>
        <v>0</v>
      </c>
      <c r="CN107" s="5" t="str">
        <f t="shared" si="114"/>
        <v/>
      </c>
      <c r="CO107" s="5" t="str">
        <f t="shared" si="115"/>
        <v/>
      </c>
      <c r="CP107" s="5" t="str">
        <f t="shared" si="116"/>
        <v/>
      </c>
      <c r="CQ107" s="5" t="str">
        <f t="shared" si="117"/>
        <v/>
      </c>
      <c r="CR107" s="5" t="str">
        <f t="shared" si="118"/>
        <v/>
      </c>
      <c r="CS107" s="5" t="str">
        <f t="shared" si="119"/>
        <v/>
      </c>
      <c r="CT107" s="5" t="str">
        <f t="shared" si="120"/>
        <v/>
      </c>
      <c r="CU107" s="5" t="str">
        <f t="shared" si="121"/>
        <v/>
      </c>
      <c r="CV107" s="5" t="b">
        <f t="shared" si="122"/>
        <v>0</v>
      </c>
      <c r="CW107" s="5"/>
      <c r="CX107" s="5"/>
      <c r="CY107" s="5"/>
      <c r="CZ107" s="5"/>
    </row>
    <row r="108" spans="1:104" ht="1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0" t="str">
        <f>IF($J$24="Español","Abrirse Paso",(IF($J$24="Deutsch","Armhebel",(IF($J$24="Français","Bagarre","Arm Bar")))))</f>
        <v>Arm Bar</v>
      </c>
      <c r="BT108" s="161" t="s">
        <v>194</v>
      </c>
      <c r="BU108" s="180" t="str">
        <f>IF($J$24="Español","Apariencia Asquerosa",(IF($J$24="Deutsch","Abstoßendes Aussehen",(IF($J$24="Français","Bras supplémentaire","Big Hand")))))</f>
        <v>Big Hand</v>
      </c>
      <c r="BV108" s="161" t="s">
        <v>196</v>
      </c>
      <c r="BW108" s="180" t="str">
        <f>IF($J$24="Español","Abrirse Paso",(IF($J$24="Deutsch","Armhebel",(IF($J$24="Français","Bagarre","Arm Bar")))))</f>
        <v>Arm Bar</v>
      </c>
      <c r="BX108" s="161" t="s">
        <v>194</v>
      </c>
      <c r="BY108" s="161" t="str">
        <f t="shared" ref="BY108:BZ119" si="153">""</f>
        <v/>
      </c>
      <c r="BZ108" s="161" t="str">
        <f t="shared" si="153"/>
        <v/>
      </c>
      <c r="CA108" s="60"/>
      <c r="CB108" s="4"/>
      <c r="CC108" s="205" t="str">
        <f>IF($J$24="Español","Brazo Fuerte",(IF($J$24="Deutsch","Knochenbrecher (+1)",(IF($J$24="Français","Bras musclé","Break Tackle")))))</f>
        <v>Break Tackle</v>
      </c>
      <c r="CD108" s="207" t="s">
        <v>194</v>
      </c>
      <c r="CE108" s="202"/>
      <c r="CF108" s="207"/>
      <c r="CG108" s="207" t="str">
        <f t="shared" si="107"/>
        <v>Brawler</v>
      </c>
      <c r="CH108" s="207" t="str">
        <f t="shared" si="108"/>
        <v>Brawler</v>
      </c>
      <c r="CI108" s="5" t="str">
        <f t="shared" si="109"/>
        <v>Brawler</v>
      </c>
      <c r="CJ108" s="5" t="b">
        <f t="shared" si="110"/>
        <v>0</v>
      </c>
      <c r="CK108" s="5" t="b">
        <f t="shared" si="111"/>
        <v>0</v>
      </c>
      <c r="CL108" s="5" t="b">
        <f t="shared" si="112"/>
        <v>0</v>
      </c>
      <c r="CM108" s="5" t="b">
        <f t="shared" si="113"/>
        <v>0</v>
      </c>
      <c r="CN108" s="5" t="str">
        <f t="shared" si="114"/>
        <v/>
      </c>
      <c r="CO108" s="5" t="str">
        <f t="shared" si="115"/>
        <v/>
      </c>
      <c r="CP108" s="5" t="str">
        <f t="shared" si="116"/>
        <v/>
      </c>
      <c r="CQ108" s="5" t="str">
        <f t="shared" si="117"/>
        <v/>
      </c>
      <c r="CR108" s="5" t="str">
        <f t="shared" si="118"/>
        <v/>
      </c>
      <c r="CS108" s="5" t="str">
        <f t="shared" si="119"/>
        <v/>
      </c>
      <c r="CT108" s="5" t="str">
        <f t="shared" si="120"/>
        <v/>
      </c>
      <c r="CU108" s="5" t="str">
        <f t="shared" si="121"/>
        <v/>
      </c>
      <c r="CV108" s="5" t="b">
        <f t="shared" si="122"/>
        <v>0</v>
      </c>
      <c r="CW108" s="5"/>
      <c r="CX108" s="5"/>
      <c r="CY108" s="5"/>
      <c r="CZ108" s="5"/>
    </row>
    <row r="109" spans="1:104" ht="1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0" t="str">
        <f>IF($J$24="Español","Apartar",(IF($J$24="Deutsch","Greifer",(IF($J$24="Français","Blocage multiple","Brawler")))))</f>
        <v>Brawler</v>
      </c>
      <c r="BT109" s="161" t="s">
        <v>194</v>
      </c>
      <c r="BU109" s="180" t="str">
        <f>IF($J$24="Español","Boca Monstruosa",(IF($J$24="Deutsch","Eisenharte Haut",(IF($J$24="Français","Cornes","Claw / Claws")))))</f>
        <v>Claw / Claws</v>
      </c>
      <c r="BV109" s="161" t="s">
        <v>196</v>
      </c>
      <c r="BW109" s="180" t="str">
        <f>IF($J$24="Español","Apartar",(IF($J$24="Deutsch","Greifer",(IF($J$24="Français","Blocage multiple","Brawler")))))</f>
        <v>Brawler</v>
      </c>
      <c r="BX109" s="161" t="s">
        <v>194</v>
      </c>
      <c r="BY109" s="161" t="str">
        <f t="shared" si="153"/>
        <v/>
      </c>
      <c r="BZ109" s="161" t="str">
        <f t="shared" si="153"/>
        <v/>
      </c>
      <c r="CA109" s="60"/>
      <c r="CB109" s="4"/>
      <c r="CC109" s="205" t="str">
        <f>IF($J$24="Español","Cabeza Dura",(IF($J$24="Deutsch","Mehrfachblock",(IF($J$24="Français","Châtaigne (+1)","Grab")))))</f>
        <v>Grab</v>
      </c>
      <c r="CD109" s="207" t="s">
        <v>194</v>
      </c>
      <c r="CE109" s="202"/>
      <c r="CF109" s="207"/>
      <c r="CG109" s="207" t="str">
        <f t="shared" si="107"/>
        <v>Break Tackle</v>
      </c>
      <c r="CH109" s="207" t="str">
        <f t="shared" si="108"/>
        <v>Break Tackle</v>
      </c>
      <c r="CI109" s="5" t="str">
        <f t="shared" si="109"/>
        <v>Break Tackle</v>
      </c>
      <c r="CJ109" s="5" t="b">
        <f t="shared" si="110"/>
        <v>0</v>
      </c>
      <c r="CK109" s="5" t="b">
        <f t="shared" si="111"/>
        <v>0</v>
      </c>
      <c r="CL109" s="5" t="b">
        <f t="shared" si="112"/>
        <v>0</v>
      </c>
      <c r="CM109" s="5" t="b">
        <f t="shared" si="113"/>
        <v>0</v>
      </c>
      <c r="CN109" s="5" t="str">
        <f t="shared" si="114"/>
        <v/>
      </c>
      <c r="CO109" s="5" t="str">
        <f t="shared" si="115"/>
        <v/>
      </c>
      <c r="CP109" s="5" t="str">
        <f t="shared" si="116"/>
        <v/>
      </c>
      <c r="CQ109" s="5" t="str">
        <f t="shared" si="117"/>
        <v/>
      </c>
      <c r="CR109" s="5" t="str">
        <f t="shared" si="118"/>
        <v/>
      </c>
      <c r="CS109" s="5" t="str">
        <f t="shared" si="119"/>
        <v/>
      </c>
      <c r="CT109" s="5" t="str">
        <f t="shared" si="120"/>
        <v/>
      </c>
      <c r="CU109" s="5" t="str">
        <f t="shared" si="121"/>
        <v/>
      </c>
      <c r="CV109" s="5" t="b">
        <f t="shared" si="122"/>
        <v>0</v>
      </c>
      <c r="CW109" s="5"/>
      <c r="CX109" s="5"/>
      <c r="CY109" s="5"/>
      <c r="CZ109" s="5"/>
    </row>
    <row r="110" spans="1:104" ht="1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0" t="str">
        <f>IF($J$24="Español","Brazo Fuerte",(IF($J$24="Deutsch","Knochenbrecher (+1)",(IF($J$24="Français","Bras musclé","Break Tackle")))))</f>
        <v>Break Tackle</v>
      </c>
      <c r="BT110" s="161" t="s">
        <v>194</v>
      </c>
      <c r="BU110" s="180" t="str">
        <f>IF($J$24="Español","Brazos Adicionales",(IF($J$24="Deutsch","Große Hand",(IF($J$24="Français","Deux tête","Disturbing Presence")))))</f>
        <v>Disturbing Presence</v>
      </c>
      <c r="BV110" s="161" t="s">
        <v>196</v>
      </c>
      <c r="BW110" s="180" t="str">
        <f>IF($J$24="Español","Brazo Fuerte",(IF($J$24="Deutsch","Knochenbrecher (+1)",(IF($J$24="Français","Bras musclé","Break Tackle")))))</f>
        <v>Break Tackle</v>
      </c>
      <c r="BX110" s="161" t="s">
        <v>194</v>
      </c>
      <c r="BY110" s="161" t="str">
        <f t="shared" si="153"/>
        <v/>
      </c>
      <c r="BZ110" s="161" t="str">
        <f t="shared" si="153"/>
        <v/>
      </c>
      <c r="CA110" s="60"/>
      <c r="CB110" s="4"/>
      <c r="CC110" s="205" t="str">
        <f>IF($J$24="Español","Crujir",(IF($J$24="Deutsch","Ramme",(IF($J$24="Français","Clé de bras","Guard")))))</f>
        <v>Guard</v>
      </c>
      <c r="CD110" s="207" t="s">
        <v>194</v>
      </c>
      <c r="CE110" s="202"/>
      <c r="CF110" s="207"/>
      <c r="CG110" s="207" t="str">
        <f t="shared" si="107"/>
        <v>Grab</v>
      </c>
      <c r="CH110" s="207" t="str">
        <f t="shared" si="108"/>
        <v>Grab</v>
      </c>
      <c r="CI110" s="5" t="str">
        <f t="shared" si="109"/>
        <v>Grab</v>
      </c>
      <c r="CJ110" s="5" t="b">
        <f t="shared" si="110"/>
        <v>0</v>
      </c>
      <c r="CK110" s="5" t="b">
        <f t="shared" si="111"/>
        <v>0</v>
      </c>
      <c r="CL110" s="5" t="b">
        <f t="shared" si="112"/>
        <v>0</v>
      </c>
      <c r="CM110" s="5" t="b">
        <f t="shared" si="113"/>
        <v>0</v>
      </c>
      <c r="CN110" s="5" t="str">
        <f t="shared" si="114"/>
        <v/>
      </c>
      <c r="CO110" s="5" t="str">
        <f t="shared" si="115"/>
        <v/>
      </c>
      <c r="CP110" s="5" t="str">
        <f t="shared" si="116"/>
        <v/>
      </c>
      <c r="CQ110" s="5" t="str">
        <f t="shared" si="117"/>
        <v/>
      </c>
      <c r="CR110" s="5" t="str">
        <f t="shared" si="118"/>
        <v/>
      </c>
      <c r="CS110" s="5" t="str">
        <f t="shared" si="119"/>
        <v/>
      </c>
      <c r="CT110" s="5" t="str">
        <f t="shared" si="120"/>
        <v/>
      </c>
      <c r="CU110" s="5" t="str">
        <f t="shared" si="121"/>
        <v/>
      </c>
      <c r="CV110" s="5" t="b">
        <f t="shared" si="122"/>
        <v>0</v>
      </c>
      <c r="CW110" s="5"/>
      <c r="CX110" s="5"/>
      <c r="CY110" s="5"/>
      <c r="CZ110" s="5"/>
    </row>
    <row r="111" spans="1:104" ht="1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0" t="str">
        <f>IF($J$24="Español","Cabeza Dura",(IF($J$24="Deutsch","Mehrfachblock",(IF($J$24="Français","Châtaigne (+1)","Grab")))))</f>
        <v>Grab</v>
      </c>
      <c r="BT111" s="161" t="s">
        <v>194</v>
      </c>
      <c r="BU111" s="180" t="str">
        <f>IF($J$24="Español","Cola Prensil",(IF($J$24="Deutsch","Hörner",(IF($J$24="Français","Grande gueule","Extra Arms")))))</f>
        <v>Extra Arms</v>
      </c>
      <c r="BV111" s="161" t="s">
        <v>196</v>
      </c>
      <c r="BW111" s="180"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7" t="s">
        <v>194</v>
      </c>
      <c r="CE111" s="202"/>
      <c r="CF111" s="207"/>
      <c r="CG111" s="207" t="str">
        <f t="shared" si="107"/>
        <v>Guard</v>
      </c>
      <c r="CH111" s="207" t="str">
        <f t="shared" si="108"/>
        <v>Guard</v>
      </c>
      <c r="CI111" s="5" t="str">
        <f t="shared" si="109"/>
        <v>Guard</v>
      </c>
      <c r="CJ111" s="5" t="b">
        <f t="shared" si="110"/>
        <v>0</v>
      </c>
      <c r="CK111" s="5" t="b">
        <f t="shared" si="111"/>
        <v>0</v>
      </c>
      <c r="CL111" s="5" t="b">
        <f t="shared" si="112"/>
        <v>0</v>
      </c>
      <c r="CM111" s="5" t="b">
        <f t="shared" si="113"/>
        <v>0</v>
      </c>
      <c r="CN111" s="5" t="str">
        <f t="shared" si="114"/>
        <v/>
      </c>
      <c r="CO111" s="5" t="str">
        <f t="shared" si="115"/>
        <v/>
      </c>
      <c r="CP111" s="5" t="str">
        <f t="shared" si="116"/>
        <v/>
      </c>
      <c r="CQ111" s="5" t="str">
        <f t="shared" si="117"/>
        <v/>
      </c>
      <c r="CR111" s="5" t="str">
        <f t="shared" si="118"/>
        <v/>
      </c>
      <c r="CS111" s="5" t="str">
        <f t="shared" si="119"/>
        <v/>
      </c>
      <c r="CT111" s="5" t="str">
        <f t="shared" si="120"/>
        <v/>
      </c>
      <c r="CU111" s="5" t="str">
        <f t="shared" si="121"/>
        <v/>
      </c>
      <c r="CV111" s="5" t="b">
        <f t="shared" si="122"/>
        <v>0</v>
      </c>
      <c r="CW111" s="5"/>
      <c r="CX111" s="5"/>
      <c r="CY111" s="5"/>
      <c r="CZ111" s="5"/>
    </row>
    <row r="112" spans="1:104" ht="1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0" t="str">
        <f>IF($J$24="Español","Crujir",(IF($J$24="Deutsch","Ramme",(IF($J$24="Français","Clé de bras","Guard")))))</f>
        <v>Guard</v>
      </c>
      <c r="BT112" s="161" t="s">
        <v>194</v>
      </c>
      <c r="BU112" s="180" t="str">
        <f>IF($J$24="Español","Cuernos",(IF($J$24="Deutsch","Klammerschwanz",(IF($J$24="Français","Griffes","Foul Appearance")))))</f>
        <v>Foul Appearance</v>
      </c>
      <c r="BV112" s="161" t="s">
        <v>196</v>
      </c>
      <c r="BW112" s="180"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7" t="s">
        <v>194</v>
      </c>
      <c r="CE112" s="202"/>
      <c r="CF112" s="207"/>
      <c r="CG112" s="207" t="str">
        <f t="shared" si="107"/>
        <v>Juggernaut</v>
      </c>
      <c r="CH112" s="207" t="str">
        <f t="shared" si="108"/>
        <v>Juggernaut</v>
      </c>
      <c r="CI112" s="5" t="str">
        <f t="shared" si="109"/>
        <v>Juggernaut</v>
      </c>
      <c r="CJ112" s="5" t="b">
        <f t="shared" si="110"/>
        <v>0</v>
      </c>
      <c r="CK112" s="5" t="b">
        <f t="shared" si="111"/>
        <v>0</v>
      </c>
      <c r="CL112" s="5" t="b">
        <f t="shared" si="112"/>
        <v>0</v>
      </c>
      <c r="CM112" s="5" t="b">
        <f t="shared" si="113"/>
        <v>0</v>
      </c>
      <c r="CN112" s="5" t="str">
        <f t="shared" si="114"/>
        <v/>
      </c>
      <c r="CO112" s="5" t="str">
        <f t="shared" si="115"/>
        <v/>
      </c>
      <c r="CP112" s="5" t="str">
        <f t="shared" si="116"/>
        <v/>
      </c>
      <c r="CQ112" s="5" t="str">
        <f t="shared" si="117"/>
        <v/>
      </c>
      <c r="CR112" s="5" t="str">
        <f t="shared" si="118"/>
        <v/>
      </c>
      <c r="CS112" s="5" t="str">
        <f t="shared" si="119"/>
        <v/>
      </c>
      <c r="CT112" s="5" t="str">
        <f t="shared" si="120"/>
        <v/>
      </c>
      <c r="CU112" s="5" t="str">
        <f t="shared" si="121"/>
        <v/>
      </c>
      <c r="CV112" s="5" t="b">
        <f t="shared" si="122"/>
        <v>0</v>
      </c>
      <c r="CW112" s="5"/>
      <c r="CX112" s="5"/>
      <c r="CY112" s="5"/>
      <c r="CZ112" s="5"/>
    </row>
    <row r="113" spans="1:104" ht="1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0"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7" t="s">
        <v>194</v>
      </c>
      <c r="CE113" s="202"/>
      <c r="CF113" s="207"/>
      <c r="CG113" s="207" t="str">
        <f t="shared" si="107"/>
        <v>Mighty Blow (+1)</v>
      </c>
      <c r="CH113" s="207" t="str">
        <f t="shared" si="108"/>
        <v>Mighty Blow (+1)</v>
      </c>
      <c r="CI113" s="5" t="str">
        <f t="shared" si="109"/>
        <v>Mighty Blow (+1)</v>
      </c>
      <c r="CJ113" s="5" t="b">
        <f t="shared" si="110"/>
        <v>0</v>
      </c>
      <c r="CK113" s="5" t="b">
        <f t="shared" si="111"/>
        <v>0</v>
      </c>
      <c r="CL113" s="5" t="b">
        <f t="shared" si="112"/>
        <v>0</v>
      </c>
      <c r="CM113" s="5" t="b">
        <f t="shared" si="113"/>
        <v>0</v>
      </c>
      <c r="CN113" s="5" t="str">
        <f t="shared" si="114"/>
        <v/>
      </c>
      <c r="CO113" s="5" t="str">
        <f t="shared" si="115"/>
        <v/>
      </c>
      <c r="CP113" s="5" t="str">
        <f t="shared" si="116"/>
        <v/>
      </c>
      <c r="CQ113" s="5" t="str">
        <f t="shared" si="117"/>
        <v/>
      </c>
      <c r="CR113" s="5" t="str">
        <f t="shared" si="118"/>
        <v/>
      </c>
      <c r="CS113" s="5" t="str">
        <f t="shared" si="119"/>
        <v/>
      </c>
      <c r="CT113" s="5" t="str">
        <f t="shared" si="120"/>
        <v/>
      </c>
      <c r="CU113" s="5" t="str">
        <f t="shared" si="121"/>
        <v/>
      </c>
      <c r="CV113" s="5" t="b">
        <f t="shared" si="122"/>
        <v>0</v>
      </c>
      <c r="CW113" s="5"/>
      <c r="CX113" s="5"/>
      <c r="CY113" s="5"/>
      <c r="CZ113" s="5"/>
    </row>
    <row r="114" spans="1:104" ht="1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7" t="s">
        <v>194</v>
      </c>
      <c r="CE114" s="202"/>
      <c r="CF114" s="207"/>
      <c r="CG114" s="207" t="str">
        <f t="shared" si="107"/>
        <v>Multiple Blocks</v>
      </c>
      <c r="CH114" s="207" t="str">
        <f t="shared" si="108"/>
        <v>Multiple Blocks</v>
      </c>
      <c r="CI114" s="5" t="str">
        <f t="shared" si="109"/>
        <v>Multiple Blocks</v>
      </c>
      <c r="CJ114" s="5" t="b">
        <f t="shared" si="110"/>
        <v>0</v>
      </c>
      <c r="CK114" s="5" t="b">
        <f t="shared" si="111"/>
        <v>0</v>
      </c>
      <c r="CL114" s="5" t="b">
        <f t="shared" si="112"/>
        <v>0</v>
      </c>
      <c r="CM114" s="5" t="b">
        <f t="shared" si="113"/>
        <v>0</v>
      </c>
      <c r="CN114" s="5" t="str">
        <f t="shared" si="114"/>
        <v/>
      </c>
      <c r="CO114" s="5" t="str">
        <f t="shared" si="115"/>
        <v/>
      </c>
      <c r="CP114" s="5" t="str">
        <f t="shared" si="116"/>
        <v/>
      </c>
      <c r="CQ114" s="5" t="str">
        <f t="shared" si="117"/>
        <v/>
      </c>
      <c r="CR114" s="5" t="str">
        <f t="shared" si="118"/>
        <v/>
      </c>
      <c r="CS114" s="5" t="str">
        <f t="shared" si="119"/>
        <v/>
      </c>
      <c r="CT114" s="5" t="str">
        <f t="shared" si="120"/>
        <v/>
      </c>
      <c r="CU114" s="5" t="str">
        <f t="shared" si="121"/>
        <v/>
      </c>
      <c r="CV114" s="5" t="b">
        <f t="shared" si="122"/>
        <v>0</v>
      </c>
      <c r="CW114" s="5"/>
      <c r="CX114" s="5"/>
      <c r="CY114" s="5"/>
      <c r="CZ114" s="5"/>
    </row>
    <row r="115" spans="1:104" ht="15" hidden="1"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7"/>
      <c r="CB115" s="207"/>
      <c r="CC115" s="161" t="str">
        <f>IF($J$24="Español","Luchador",(IF($J$24="Deutsch","Tackle durchbrechen",(IF($J$24="Français","Mateau-pilon","Stand Firm")))))</f>
        <v>Stand Firm</v>
      </c>
      <c r="CD115" s="207" t="s">
        <v>194</v>
      </c>
      <c r="CE115" s="202"/>
      <c r="CF115" s="207"/>
      <c r="CG115" s="207" t="str">
        <f t="shared" si="107"/>
        <v>Pile Diver</v>
      </c>
      <c r="CH115" s="207" t="str">
        <f t="shared" si="108"/>
        <v>Pile Diver</v>
      </c>
      <c r="CI115" s="5" t="str">
        <f t="shared" si="109"/>
        <v>Pile Diver</v>
      </c>
      <c r="CJ115" s="5" t="b">
        <f t="shared" si="110"/>
        <v>0</v>
      </c>
      <c r="CK115" s="5" t="b">
        <f t="shared" si="111"/>
        <v>0</v>
      </c>
      <c r="CL115" s="5" t="b">
        <f t="shared" si="112"/>
        <v>0</v>
      </c>
      <c r="CM115" s="5" t="b">
        <f t="shared" si="113"/>
        <v>0</v>
      </c>
      <c r="CN115" s="5" t="str">
        <f t="shared" si="114"/>
        <v/>
      </c>
      <c r="CO115" s="5" t="str">
        <f t="shared" si="115"/>
        <v/>
      </c>
      <c r="CP115" s="5" t="str">
        <f t="shared" si="116"/>
        <v/>
      </c>
      <c r="CQ115" s="5" t="str">
        <f t="shared" si="117"/>
        <v/>
      </c>
      <c r="CR115" s="5" t="str">
        <f t="shared" si="118"/>
        <v/>
      </c>
      <c r="CS115" s="5" t="str">
        <f t="shared" si="119"/>
        <v/>
      </c>
      <c r="CT115" s="5" t="str">
        <f t="shared" si="120"/>
        <v/>
      </c>
      <c r="CU115" s="5" t="str">
        <f t="shared" si="121"/>
        <v/>
      </c>
      <c r="CV115" s="5" t="b">
        <f t="shared" si="122"/>
        <v>0</v>
      </c>
      <c r="CW115" s="5"/>
      <c r="CX115" s="5"/>
      <c r="CY115" s="5"/>
      <c r="CZ115" s="5"/>
    </row>
    <row r="116" spans="1:104" ht="15" hidden="1"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0"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7"/>
      <c r="CB116" s="207"/>
      <c r="CC116" s="161" t="str">
        <f>IF($J$24="Español","Mantenerse Firme",(IF($J$24="Deutsch","Robust",(IF($J$24="Français","Projection","Strong Arm")))))</f>
        <v>Strong Arm</v>
      </c>
      <c r="CD116" s="207" t="s">
        <v>194</v>
      </c>
      <c r="CE116" s="202"/>
      <c r="CF116" s="207"/>
      <c r="CG116" s="207" t="str">
        <f t="shared" si="107"/>
        <v>Stand Firm</v>
      </c>
      <c r="CH116" s="207" t="str">
        <f t="shared" si="108"/>
        <v>Stand Firm</v>
      </c>
      <c r="CI116" s="5" t="str">
        <f t="shared" si="109"/>
        <v>Stand Firm</v>
      </c>
      <c r="CJ116" s="5" t="b">
        <f t="shared" si="110"/>
        <v>0</v>
      </c>
      <c r="CK116" s="5" t="b">
        <f t="shared" si="111"/>
        <v>0</v>
      </c>
      <c r="CL116" s="5" t="b">
        <f t="shared" si="112"/>
        <v>0</v>
      </c>
      <c r="CM116" s="5" t="b">
        <f t="shared" si="113"/>
        <v>0</v>
      </c>
      <c r="CN116" s="5" t="str">
        <f t="shared" si="114"/>
        <v/>
      </c>
      <c r="CO116" s="5" t="str">
        <f t="shared" si="115"/>
        <v/>
      </c>
      <c r="CP116" s="5" t="str">
        <f t="shared" si="116"/>
        <v/>
      </c>
      <c r="CQ116" s="5" t="str">
        <f t="shared" si="117"/>
        <v/>
      </c>
      <c r="CR116" s="5" t="str">
        <f t="shared" si="118"/>
        <v/>
      </c>
      <c r="CS116" s="5" t="str">
        <f t="shared" si="119"/>
        <v/>
      </c>
      <c r="CT116" s="5" t="str">
        <f t="shared" si="120"/>
        <v/>
      </c>
      <c r="CU116" s="5" t="str">
        <f t="shared" si="121"/>
        <v/>
      </c>
      <c r="CV116" s="5" t="b">
        <f t="shared" si="122"/>
        <v>0</v>
      </c>
      <c r="CW116" s="5"/>
      <c r="CX116" s="5"/>
      <c r="CY116" s="5"/>
      <c r="CZ116" s="5"/>
    </row>
    <row r="117" spans="1:104" ht="15" hidden="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0"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7"/>
      <c r="CB117" s="207"/>
      <c r="CC117" s="161" t="str">
        <f>IF($J$24="Español","Placaje Múltiple",(IF($J$24="Deutsch","Unterstützen",(IF($J$24="Français","Stabilité","Thick Skull")))))</f>
        <v>Thick Skull</v>
      </c>
      <c r="CD117" s="207" t="s">
        <v>194</v>
      </c>
      <c r="CE117" s="202"/>
      <c r="CF117" s="207"/>
      <c r="CG117" s="207" t="str">
        <f t="shared" si="107"/>
        <v>Strong Arm</v>
      </c>
      <c r="CH117" s="207" t="str">
        <f t="shared" si="108"/>
        <v>Strong Arm</v>
      </c>
      <c r="CI117" s="5" t="str">
        <f t="shared" si="109"/>
        <v>Strong Arm</v>
      </c>
      <c r="CJ117" s="5" t="b">
        <f t="shared" si="110"/>
        <v>0</v>
      </c>
      <c r="CK117" s="5" t="b">
        <f t="shared" si="111"/>
        <v>0</v>
      </c>
      <c r="CL117" s="5" t="b">
        <f t="shared" si="112"/>
        <v>0</v>
      </c>
      <c r="CM117" s="5" t="b">
        <f t="shared" si="113"/>
        <v>0</v>
      </c>
      <c r="CN117" s="5" t="str">
        <f t="shared" si="114"/>
        <v/>
      </c>
      <c r="CO117" s="5" t="str">
        <f t="shared" si="115"/>
        <v/>
      </c>
      <c r="CP117" s="5" t="str">
        <f t="shared" si="116"/>
        <v/>
      </c>
      <c r="CQ117" s="5" t="str">
        <f t="shared" si="117"/>
        <v/>
      </c>
      <c r="CR117" s="5" t="str">
        <f t="shared" si="118"/>
        <v/>
      </c>
      <c r="CS117" s="5" t="str">
        <f t="shared" si="119"/>
        <v/>
      </c>
      <c r="CT117" s="5" t="str">
        <f t="shared" si="120"/>
        <v/>
      </c>
      <c r="CU117" s="5" t="str">
        <f t="shared" si="121"/>
        <v/>
      </c>
      <c r="CV117" s="5" t="b">
        <f t="shared" si="122"/>
        <v>0</v>
      </c>
      <c r="CW117" s="5"/>
      <c r="CX117" s="5"/>
      <c r="CY117" s="5"/>
      <c r="CZ117" s="5"/>
    </row>
    <row r="118" spans="1:104" ht="15" hidden="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0"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7"/>
      <c r="CB118" s="207"/>
      <c r="CC118" s="205" t="str">
        <f>IF($J$24="Español","Apariencia Asquerosa",(IF($J$24="Deutsch","Abstoßendes Aussehen",(IF($J$24="Français","Bras supplémentaire","Big Hand")))))</f>
        <v>Big Hand</v>
      </c>
      <c r="CD118" s="207" t="s">
        <v>196</v>
      </c>
      <c r="CE118" s="202"/>
      <c r="CF118" s="207"/>
      <c r="CG118" s="207" t="str">
        <f t="shared" si="107"/>
        <v>Thick Skull</v>
      </c>
      <c r="CH118" s="207" t="str">
        <f t="shared" si="108"/>
        <v>Thick Skull</v>
      </c>
      <c r="CI118" s="5" t="str">
        <f t="shared" si="109"/>
        <v>Thick Skull</v>
      </c>
      <c r="CJ118" s="5" t="b">
        <f t="shared" si="110"/>
        <v>0</v>
      </c>
      <c r="CK118" s="5" t="b">
        <f t="shared" si="111"/>
        <v>0</v>
      </c>
      <c r="CL118" s="5" t="b">
        <f t="shared" si="112"/>
        <v>0</v>
      </c>
      <c r="CM118" s="5" t="b">
        <f t="shared" si="113"/>
        <v>0</v>
      </c>
      <c r="CN118" s="5" t="str">
        <f t="shared" si="114"/>
        <v/>
      </c>
      <c r="CO118" s="5" t="str">
        <f t="shared" si="115"/>
        <v/>
      </c>
      <c r="CP118" s="5" t="str">
        <f t="shared" si="116"/>
        <v/>
      </c>
      <c r="CQ118" s="5" t="str">
        <f t="shared" si="117"/>
        <v/>
      </c>
      <c r="CR118" s="5" t="str">
        <f t="shared" si="118"/>
        <v/>
      </c>
      <c r="CS118" s="5" t="str">
        <f t="shared" si="119"/>
        <v/>
      </c>
      <c r="CT118" s="5" t="str">
        <f t="shared" si="120"/>
        <v/>
      </c>
      <c r="CU118" s="5" t="str">
        <f t="shared" si="121"/>
        <v/>
      </c>
      <c r="CV118" s="5" t="b">
        <f t="shared" si="122"/>
        <v>0</v>
      </c>
      <c r="CW118" s="5"/>
      <c r="CX118" s="5"/>
      <c r="CY118" s="5"/>
      <c r="CZ118" s="5"/>
    </row>
    <row r="119" spans="1:104" ht="15" hidden="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0"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7"/>
      <c r="CB119" s="207"/>
      <c r="CC119" s="205" t="str">
        <f>IF($J$24="Español","Boca Monstruosa",(IF($J$24="Deutsch","Eisenharte Haut",(IF($J$24="Français","Cornes","Claw / Claws")))))</f>
        <v>Claw / Claws</v>
      </c>
      <c r="CD119" s="207" t="s">
        <v>196</v>
      </c>
      <c r="CE119" s="202"/>
      <c r="CF119" s="207"/>
      <c r="CG119" s="207" t="str">
        <f t="shared" si="107"/>
        <v/>
      </c>
      <c r="CH119" s="207" t="str">
        <f t="shared" si="108"/>
        <v/>
      </c>
      <c r="CI119" s="5" t="str">
        <f t="shared" si="109"/>
        <v/>
      </c>
      <c r="CJ119" s="5" t="b">
        <f t="shared" si="110"/>
        <v>0</v>
      </c>
      <c r="CK119" s="5" t="b">
        <f t="shared" si="111"/>
        <v>0</v>
      </c>
      <c r="CL119" s="5" t="b">
        <f t="shared" si="112"/>
        <v>0</v>
      </c>
      <c r="CM119" s="5" t="b">
        <f t="shared" si="113"/>
        <v>0</v>
      </c>
      <c r="CN119" s="5" t="str">
        <f t="shared" si="114"/>
        <v/>
      </c>
      <c r="CO119" s="5" t="str">
        <f t="shared" si="115"/>
        <v/>
      </c>
      <c r="CP119" s="5" t="str">
        <f t="shared" si="116"/>
        <v/>
      </c>
      <c r="CQ119" s="5" t="str">
        <f t="shared" si="117"/>
        <v/>
      </c>
      <c r="CR119" s="5" t="str">
        <f t="shared" si="118"/>
        <v/>
      </c>
      <c r="CS119" s="5" t="str">
        <f t="shared" si="119"/>
        <v/>
      </c>
      <c r="CT119" s="5" t="str">
        <f t="shared" si="120"/>
        <v/>
      </c>
      <c r="CU119" s="5" t="str">
        <f t="shared" si="121"/>
        <v/>
      </c>
      <c r="CV119" s="5" t="b">
        <f t="shared" si="122"/>
        <v>0</v>
      </c>
      <c r="CW119" s="5"/>
      <c r="CX119" s="5"/>
      <c r="CY119" s="5"/>
      <c r="CZ119" s="5"/>
    </row>
    <row r="120" spans="1:104" ht="15" hidden="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0"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7"/>
      <c r="CB120" s="4"/>
      <c r="CC120" s="205" t="str">
        <f>IF($J$24="Español","Brazos Adicionales",(IF($J$24="Deutsch","Große Hand",(IF($J$24="Français","Deux tête","Disturbing Presence")))))</f>
        <v>Disturbing Presence</v>
      </c>
      <c r="CD120" s="207" t="s">
        <v>196</v>
      </c>
      <c r="CE120" s="202"/>
      <c r="CF120" s="207"/>
      <c r="CG120" s="207" t="str">
        <f t="shared" si="107"/>
        <v/>
      </c>
      <c r="CH120" s="207" t="str">
        <f t="shared" si="108"/>
        <v/>
      </c>
      <c r="CI120" s="5" t="str">
        <f t="shared" si="109"/>
        <v/>
      </c>
      <c r="CJ120" s="5" t="b">
        <f t="shared" si="110"/>
        <v>0</v>
      </c>
      <c r="CK120" s="5" t="b">
        <f t="shared" si="111"/>
        <v>0</v>
      </c>
      <c r="CL120" s="5" t="b">
        <f t="shared" si="112"/>
        <v>0</v>
      </c>
      <c r="CM120" s="5" t="b">
        <f t="shared" si="113"/>
        <v>0</v>
      </c>
      <c r="CN120" s="5" t="str">
        <f t="shared" si="114"/>
        <v/>
      </c>
      <c r="CO120" s="5" t="str">
        <f t="shared" si="115"/>
        <v/>
      </c>
      <c r="CP120" s="5" t="str">
        <f t="shared" si="116"/>
        <v/>
      </c>
      <c r="CQ120" s="5" t="str">
        <f t="shared" si="117"/>
        <v/>
      </c>
      <c r="CR120" s="5" t="str">
        <f t="shared" si="118"/>
        <v/>
      </c>
      <c r="CS120" s="5" t="str">
        <f t="shared" si="119"/>
        <v/>
      </c>
      <c r="CT120" s="5" t="str">
        <f t="shared" si="120"/>
        <v/>
      </c>
      <c r="CU120" s="5" t="str">
        <f t="shared" si="121"/>
        <v/>
      </c>
      <c r="CV120" s="5" t="b">
        <f t="shared" si="122"/>
        <v>0</v>
      </c>
      <c r="CW120" s="5"/>
      <c r="CX120" s="5"/>
      <c r="CY120" s="5"/>
      <c r="CZ120" s="5"/>
    </row>
    <row r="121" spans="1:104" ht="15" hidden="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0"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7"/>
      <c r="CB121" s="4"/>
      <c r="CC121" s="205" t="str">
        <f>IF($J$24="Español","Cola Prensil",(IF($J$24="Deutsch","Hörner",(IF($J$24="Français","Grande gueule","Extra Arms")))))</f>
        <v>Extra Arms</v>
      </c>
      <c r="CD121" s="207" t="s">
        <v>196</v>
      </c>
      <c r="CE121" s="202"/>
      <c r="CF121" s="207"/>
      <c r="CG121" s="207" t="str">
        <f t="shared" si="107"/>
        <v/>
      </c>
      <c r="CH121" s="207" t="str">
        <f t="shared" si="108"/>
        <v/>
      </c>
      <c r="CI121" s="5" t="str">
        <f t="shared" si="109"/>
        <v/>
      </c>
      <c r="CJ121" s="5" t="b">
        <f t="shared" si="110"/>
        <v>0</v>
      </c>
      <c r="CK121" s="5" t="b">
        <f t="shared" si="111"/>
        <v>0</v>
      </c>
      <c r="CL121" s="5" t="b">
        <f t="shared" si="112"/>
        <v>0</v>
      </c>
      <c r="CM121" s="5" t="b">
        <f t="shared" si="113"/>
        <v>0</v>
      </c>
      <c r="CN121" s="5" t="str">
        <f t="shared" si="114"/>
        <v/>
      </c>
      <c r="CO121" s="5" t="str">
        <f t="shared" si="115"/>
        <v/>
      </c>
      <c r="CP121" s="5" t="str">
        <f t="shared" si="116"/>
        <v/>
      </c>
      <c r="CQ121" s="5" t="str">
        <f t="shared" si="117"/>
        <v/>
      </c>
      <c r="CR121" s="5" t="str">
        <f t="shared" si="118"/>
        <v/>
      </c>
      <c r="CS121" s="5" t="str">
        <f t="shared" si="119"/>
        <v/>
      </c>
      <c r="CT121" s="5" t="str">
        <f t="shared" si="120"/>
        <v/>
      </c>
      <c r="CU121" s="5" t="str">
        <f t="shared" si="121"/>
        <v/>
      </c>
      <c r="CV121" s="5" t="b">
        <f t="shared" si="122"/>
        <v>0</v>
      </c>
      <c r="CW121" s="5"/>
      <c r="CX121" s="5"/>
      <c r="CY121" s="5"/>
      <c r="CZ121" s="5"/>
    </row>
    <row r="122" spans="1:104" ht="15"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0"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7"/>
      <c r="CB122" s="4"/>
      <c r="CC122" s="205" t="str">
        <f>IF($J$24="Español","Cuernos",(IF($J$24="Deutsch","Klammerschwanz",(IF($J$24="Français","Griffes","Foul Appearance")))))</f>
        <v>Foul Appearance</v>
      </c>
      <c r="CD122" s="207" t="s">
        <v>196</v>
      </c>
      <c r="CE122" s="202"/>
      <c r="CF122" s="207"/>
      <c r="CG122" s="207" t="str">
        <f t="shared" si="107"/>
        <v/>
      </c>
      <c r="CH122" s="207" t="str">
        <f t="shared" si="108"/>
        <v/>
      </c>
      <c r="CI122" s="5" t="str">
        <f t="shared" si="109"/>
        <v/>
      </c>
      <c r="CJ122" s="5" t="b">
        <f t="shared" si="110"/>
        <v>0</v>
      </c>
      <c r="CK122" s="5" t="b">
        <f t="shared" si="111"/>
        <v>0</v>
      </c>
      <c r="CL122" s="5" t="b">
        <f t="shared" si="112"/>
        <v>0</v>
      </c>
      <c r="CM122" s="5" t="b">
        <f t="shared" si="113"/>
        <v>0</v>
      </c>
      <c r="CN122" s="5" t="str">
        <f t="shared" si="114"/>
        <v/>
      </c>
      <c r="CO122" s="5" t="str">
        <f t="shared" si="115"/>
        <v/>
      </c>
      <c r="CP122" s="5" t="str">
        <f t="shared" si="116"/>
        <v/>
      </c>
      <c r="CQ122" s="5" t="str">
        <f t="shared" si="117"/>
        <v/>
      </c>
      <c r="CR122" s="5" t="str">
        <f t="shared" si="118"/>
        <v/>
      </c>
      <c r="CS122" s="5" t="str">
        <f t="shared" si="119"/>
        <v/>
      </c>
      <c r="CT122" s="5" t="str">
        <f t="shared" si="120"/>
        <v/>
      </c>
      <c r="CU122" s="5" t="str">
        <f t="shared" si="121"/>
        <v/>
      </c>
      <c r="CV122" s="5" t="b">
        <f t="shared" si="122"/>
        <v>0</v>
      </c>
      <c r="CW122" s="5"/>
      <c r="CX122" s="5"/>
      <c r="CY122" s="5"/>
      <c r="CZ122" s="5"/>
    </row>
    <row r="123" spans="1:104" ht="15" hidden="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0"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7"/>
      <c r="CB123" s="4"/>
      <c r="CC123" s="205" t="str">
        <f>IF($J$24="Español","Dos Cabezas",(IF($J$24="Deutsch","Klauen",(IF($J$24="Français","Main démesurée","Horns")))))</f>
        <v>Horns</v>
      </c>
      <c r="CD123" s="207" t="s">
        <v>196</v>
      </c>
      <c r="CE123" s="202"/>
      <c r="CF123" s="207"/>
      <c r="CG123" s="207" t="str">
        <f t="shared" si="107"/>
        <v/>
      </c>
      <c r="CH123" s="207" t="str">
        <f t="shared" si="108"/>
        <v/>
      </c>
      <c r="CI123" s="5" t="str">
        <f t="shared" si="109"/>
        <v/>
      </c>
      <c r="CJ123" s="5" t="b">
        <f t="shared" si="110"/>
        <v>0</v>
      </c>
      <c r="CK123" s="5" t="b">
        <f t="shared" si="111"/>
        <v>0</v>
      </c>
      <c r="CL123" s="5" t="b">
        <f t="shared" si="112"/>
        <v>0</v>
      </c>
      <c r="CM123" s="5" t="b">
        <f t="shared" si="113"/>
        <v>0</v>
      </c>
      <c r="CN123" s="5" t="str">
        <f t="shared" si="114"/>
        <v/>
      </c>
      <c r="CO123" s="5" t="str">
        <f t="shared" si="115"/>
        <v/>
      </c>
      <c r="CP123" s="5" t="str">
        <f t="shared" si="116"/>
        <v/>
      </c>
      <c r="CQ123" s="5" t="str">
        <f t="shared" si="117"/>
        <v/>
      </c>
      <c r="CR123" s="5" t="str">
        <f t="shared" si="118"/>
        <v/>
      </c>
      <c r="CS123" s="5" t="str">
        <f t="shared" si="119"/>
        <v/>
      </c>
      <c r="CT123" s="5" t="str">
        <f t="shared" si="120"/>
        <v/>
      </c>
      <c r="CU123" s="5" t="str">
        <f t="shared" si="121"/>
        <v/>
      </c>
      <c r="CV123" s="5" t="b">
        <f t="shared" si="122"/>
        <v>0</v>
      </c>
      <c r="CW123" s="5"/>
      <c r="CX123" s="5"/>
      <c r="CY123" s="5"/>
      <c r="CZ123" s="5"/>
    </row>
    <row r="124" spans="1:104" ht="15"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0"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7"/>
      <c r="CB124" s="4"/>
      <c r="CC124" s="161" t="str">
        <f>IF($J$24="Español","Garra / Garras",(IF($J$24="Deutsch","Monströses Maul",(IF($J$24="Français","Queue préhensile","Iron Hard Skin")))))</f>
        <v>Iron Hard Skin</v>
      </c>
      <c r="CD124" s="207" t="s">
        <v>196</v>
      </c>
      <c r="CE124" s="202"/>
      <c r="CF124" s="207"/>
      <c r="CG124" s="207" t="str">
        <f t="shared" si="107"/>
        <v/>
      </c>
      <c r="CH124" s="207" t="str">
        <f t="shared" si="108"/>
        <v/>
      </c>
      <c r="CI124" s="5" t="str">
        <f t="shared" si="109"/>
        <v/>
      </c>
      <c r="CJ124" s="5" t="b">
        <f t="shared" si="110"/>
        <v>0</v>
      </c>
      <c r="CK124" s="5" t="b">
        <f t="shared" si="111"/>
        <v>0</v>
      </c>
      <c r="CL124" s="5" t="b">
        <f t="shared" si="112"/>
        <v>0</v>
      </c>
      <c r="CM124" s="5" t="b">
        <f t="shared" si="113"/>
        <v>0</v>
      </c>
      <c r="CN124" s="5" t="str">
        <f t="shared" si="114"/>
        <v/>
      </c>
      <c r="CO124" s="5" t="str">
        <f t="shared" si="115"/>
        <v/>
      </c>
      <c r="CP124" s="5" t="str">
        <f t="shared" si="116"/>
        <v/>
      </c>
      <c r="CQ124" s="5" t="str">
        <f t="shared" si="117"/>
        <v/>
      </c>
      <c r="CR124" s="5" t="str">
        <f t="shared" si="118"/>
        <v/>
      </c>
      <c r="CS124" s="5" t="str">
        <f t="shared" si="119"/>
        <v/>
      </c>
      <c r="CT124" s="5" t="str">
        <f t="shared" si="120"/>
        <v/>
      </c>
      <c r="CU124" s="5" t="str">
        <f t="shared" si="121"/>
        <v/>
      </c>
      <c r="CV124" s="5" t="b">
        <f t="shared" si="122"/>
        <v>0</v>
      </c>
      <c r="CW124" s="5"/>
      <c r="CX124" s="5"/>
      <c r="CY124" s="5"/>
      <c r="CZ124" s="5"/>
    </row>
    <row r="125" spans="1:104" ht="15"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0"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7"/>
      <c r="CB125" s="207"/>
      <c r="CC125" s="161" t="str">
        <f>IF($J$24="Español","Mano Grande",(IF($J$24="Deutsch","Sehr lange Beine",(IF($J$24="Français","Peau de fer","Monstrous Mouth")))))</f>
        <v>Monstrous Mouth</v>
      </c>
      <c r="CD125" s="207" t="s">
        <v>196</v>
      </c>
      <c r="CE125" s="202"/>
      <c r="CF125" s="207"/>
      <c r="CG125" s="207" t="str">
        <f t="shared" si="107"/>
        <v/>
      </c>
      <c r="CH125" s="207" t="str">
        <f t="shared" si="108"/>
        <v/>
      </c>
      <c r="CI125" s="5" t="str">
        <f t="shared" si="109"/>
        <v/>
      </c>
      <c r="CJ125" s="5" t="b">
        <f t="shared" si="110"/>
        <v>0</v>
      </c>
      <c r="CK125" s="5" t="b">
        <f t="shared" si="111"/>
        <v>0</v>
      </c>
      <c r="CL125" s="5" t="b">
        <f t="shared" si="112"/>
        <v>0</v>
      </c>
      <c r="CM125" s="5" t="b">
        <f t="shared" si="113"/>
        <v>0</v>
      </c>
      <c r="CN125" s="5" t="str">
        <f t="shared" si="114"/>
        <v/>
      </c>
      <c r="CO125" s="5" t="str">
        <f t="shared" si="115"/>
        <v/>
      </c>
      <c r="CP125" s="5" t="str">
        <f t="shared" si="116"/>
        <v/>
      </c>
      <c r="CQ125" s="5" t="str">
        <f t="shared" si="117"/>
        <v/>
      </c>
      <c r="CR125" s="5" t="str">
        <f t="shared" si="118"/>
        <v/>
      </c>
      <c r="CS125" s="5" t="str">
        <f t="shared" si="119"/>
        <v/>
      </c>
      <c r="CT125" s="5" t="str">
        <f t="shared" si="120"/>
        <v/>
      </c>
      <c r="CU125" s="5" t="str">
        <f t="shared" si="121"/>
        <v/>
      </c>
      <c r="CV125" s="5" t="b">
        <f t="shared" si="122"/>
        <v>0</v>
      </c>
      <c r="CW125" s="5"/>
      <c r="CX125" s="5"/>
      <c r="CY125" s="5"/>
      <c r="CZ125" s="5"/>
    </row>
    <row r="126" spans="1:104" ht="15"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7"/>
      <c r="CB126" s="207"/>
      <c r="CC126" s="205" t="str">
        <f>IF($J$24="Español","Piel Ferrea",(IF($J$24="Deutsch","Tentakel",(IF($J$24="Français","Présence perturbante","Prehensile Tail")))))</f>
        <v>Prehensile Tail</v>
      </c>
      <c r="CD126" s="207" t="s">
        <v>196</v>
      </c>
      <c r="CE126" s="202"/>
      <c r="CF126" s="207"/>
      <c r="CG126" s="207" t="str">
        <f t="shared" si="107"/>
        <v/>
      </c>
      <c r="CH126" s="207" t="str">
        <f t="shared" si="108"/>
        <v/>
      </c>
      <c r="CI126" s="5" t="str">
        <f t="shared" si="109"/>
        <v/>
      </c>
      <c r="CJ126" s="5" t="b">
        <f t="shared" si="110"/>
        <v>0</v>
      </c>
      <c r="CK126" s="5" t="b">
        <f t="shared" si="111"/>
        <v>0</v>
      </c>
      <c r="CL126" s="5" t="b">
        <f t="shared" si="112"/>
        <v>0</v>
      </c>
      <c r="CM126" s="5" t="b">
        <f t="shared" si="113"/>
        <v>0</v>
      </c>
      <c r="CN126" s="5" t="str">
        <f t="shared" si="114"/>
        <v/>
      </c>
      <c r="CO126" s="5" t="str">
        <f t="shared" si="115"/>
        <v/>
      </c>
      <c r="CP126" s="5" t="str">
        <f t="shared" si="116"/>
        <v/>
      </c>
      <c r="CQ126" s="5" t="str">
        <f t="shared" si="117"/>
        <v/>
      </c>
      <c r="CR126" s="5" t="str">
        <f t="shared" si="118"/>
        <v/>
      </c>
      <c r="CS126" s="5" t="str">
        <f t="shared" si="119"/>
        <v/>
      </c>
      <c r="CT126" s="5" t="str">
        <f t="shared" si="120"/>
        <v/>
      </c>
      <c r="CU126" s="5" t="str">
        <f t="shared" si="121"/>
        <v/>
      </c>
      <c r="CV126" s="5" t="b">
        <f t="shared" si="122"/>
        <v>0</v>
      </c>
      <c r="CW126" s="5"/>
      <c r="CX126" s="5"/>
      <c r="CY126" s="5"/>
      <c r="CZ126" s="5"/>
    </row>
    <row r="127" spans="1:104" ht="1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7"/>
      <c r="CB127" s="207"/>
      <c r="CC127" s="205" t="str">
        <f>IF($J$24="Español","Piernas muy Largas",(IF($J$24="Deutsch","Verstörende Präsenz",(IF($J$24="Français","Répulsion","Tentacles")))))</f>
        <v>Tentacles</v>
      </c>
      <c r="CD127" s="207" t="s">
        <v>196</v>
      </c>
      <c r="CE127" s="202"/>
      <c r="CF127" s="207"/>
      <c r="CG127" s="207" t="str">
        <f t="shared" si="107"/>
        <v/>
      </c>
      <c r="CH127" s="207" t="str">
        <f t="shared" si="108"/>
        <v/>
      </c>
      <c r="CI127" s="5" t="str">
        <f t="shared" si="109"/>
        <v/>
      </c>
      <c r="CJ127" s="5" t="b">
        <f t="shared" si="110"/>
        <v>0</v>
      </c>
      <c r="CK127" s="5" t="b">
        <f t="shared" si="111"/>
        <v>0</v>
      </c>
      <c r="CL127" s="5" t="b">
        <f t="shared" si="112"/>
        <v>0</v>
      </c>
      <c r="CM127" s="5" t="b">
        <f t="shared" si="113"/>
        <v>0</v>
      </c>
      <c r="CN127" s="5" t="str">
        <f t="shared" si="114"/>
        <v/>
      </c>
      <c r="CO127" s="5" t="str">
        <f t="shared" si="115"/>
        <v/>
      </c>
      <c r="CP127" s="5" t="str">
        <f t="shared" si="116"/>
        <v/>
      </c>
      <c r="CQ127" s="5" t="str">
        <f t="shared" si="117"/>
        <v/>
      </c>
      <c r="CR127" s="5" t="str">
        <f t="shared" si="118"/>
        <v/>
      </c>
      <c r="CS127" s="5" t="str">
        <f t="shared" si="119"/>
        <v/>
      </c>
      <c r="CT127" s="5" t="str">
        <f t="shared" si="120"/>
        <v/>
      </c>
      <c r="CU127" s="5" t="str">
        <f t="shared" si="121"/>
        <v/>
      </c>
      <c r="CV127" s="5" t="b">
        <f t="shared" si="122"/>
        <v>0</v>
      </c>
      <c r="CW127" s="5"/>
      <c r="CX127" s="5"/>
      <c r="CY127" s="5"/>
      <c r="CZ127" s="5"/>
    </row>
    <row r="128" spans="1:104" ht="15" hidden="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0"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7"/>
      <c r="CB128" s="207"/>
      <c r="CC128" s="205" t="str">
        <f>IF($J$24="Español","Presencia Perturbadora",(IF($J$24="Deutsch","Zwei Köpfe",(IF($J$24="Français","Tentacule","Two Heads")))))</f>
        <v>Two Heads</v>
      </c>
      <c r="CD128" s="207" t="s">
        <v>196</v>
      </c>
      <c r="CE128" s="202"/>
      <c r="CF128" s="207"/>
      <c r="CG128" s="207" t="str">
        <f t="shared" si="107"/>
        <v/>
      </c>
      <c r="CH128" s="207" t="str">
        <f t="shared" si="108"/>
        <v/>
      </c>
      <c r="CI128" s="5" t="str">
        <f t="shared" si="109"/>
        <v/>
      </c>
      <c r="CJ128" s="5" t="b">
        <f t="shared" si="110"/>
        <v>0</v>
      </c>
      <c r="CK128" s="5" t="b">
        <f t="shared" si="111"/>
        <v>0</v>
      </c>
      <c r="CL128" s="5" t="b">
        <f t="shared" si="112"/>
        <v>0</v>
      </c>
      <c r="CM128" s="5" t="b">
        <f t="shared" si="113"/>
        <v>0</v>
      </c>
      <c r="CN128" s="5" t="str">
        <f t="shared" si="114"/>
        <v/>
      </c>
      <c r="CO128" s="5" t="str">
        <f t="shared" si="115"/>
        <v/>
      </c>
      <c r="CP128" s="5" t="str">
        <f t="shared" si="116"/>
        <v/>
      </c>
      <c r="CQ128" s="5" t="str">
        <f t="shared" si="117"/>
        <v/>
      </c>
      <c r="CR128" s="5" t="str">
        <f t="shared" si="118"/>
        <v/>
      </c>
      <c r="CS128" s="5" t="str">
        <f t="shared" si="119"/>
        <v/>
      </c>
      <c r="CT128" s="5" t="str">
        <f t="shared" si="120"/>
        <v/>
      </c>
      <c r="CU128" s="5" t="str">
        <f t="shared" si="121"/>
        <v/>
      </c>
      <c r="CV128" s="5" t="b">
        <f t="shared" si="122"/>
        <v>0</v>
      </c>
      <c r="CW128" s="5"/>
      <c r="CX128" s="5"/>
      <c r="CY128" s="5"/>
      <c r="CZ128" s="5"/>
    </row>
    <row r="129" spans="1:104" ht="15" hidden="1"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0"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7"/>
      <c r="CB129" s="207"/>
      <c r="CC129" s="205" t="str">
        <f>IF($J$24="Español","Tentáculos",(IF($J$24="Deutsch","Zusätzliche Arme",(IF($J$24="Français","Très longues jambes","Very Long Legs")))))</f>
        <v>Very Long Legs</v>
      </c>
      <c r="CD129" s="207" t="s">
        <v>196</v>
      </c>
      <c r="CE129" s="202"/>
      <c r="CF129" s="207"/>
      <c r="CG129" s="207" t="str">
        <f t="shared" si="107"/>
        <v/>
      </c>
      <c r="CH129" s="207" t="str">
        <f t="shared" si="108"/>
        <v/>
      </c>
      <c r="CI129" s="5" t="str">
        <f t="shared" si="109"/>
        <v/>
      </c>
      <c r="CJ129" s="5" t="b">
        <f t="shared" si="110"/>
        <v>0</v>
      </c>
      <c r="CK129" s="5" t="b">
        <f t="shared" si="111"/>
        <v>0</v>
      </c>
      <c r="CL129" s="5" t="b">
        <f t="shared" si="112"/>
        <v>0</v>
      </c>
      <c r="CM129" s="5" t="b">
        <f t="shared" si="113"/>
        <v>0</v>
      </c>
      <c r="CN129" s="5" t="str">
        <f t="shared" si="114"/>
        <v/>
      </c>
      <c r="CO129" s="5" t="str">
        <f t="shared" si="115"/>
        <v/>
      </c>
      <c r="CP129" s="5" t="str">
        <f t="shared" si="116"/>
        <v/>
      </c>
      <c r="CQ129" s="5" t="str">
        <f t="shared" si="117"/>
        <v/>
      </c>
      <c r="CR129" s="5" t="str">
        <f t="shared" si="118"/>
        <v/>
      </c>
      <c r="CS129" s="5" t="str">
        <f t="shared" si="119"/>
        <v/>
      </c>
      <c r="CT129" s="5" t="str">
        <f t="shared" si="120"/>
        <v/>
      </c>
      <c r="CU129" s="5" t="str">
        <f t="shared" si="121"/>
        <v/>
      </c>
      <c r="CV129" s="5" t="b">
        <f t="shared" si="122"/>
        <v>0</v>
      </c>
      <c r="CW129" s="5"/>
      <c r="CX129" s="5"/>
      <c r="CY129" s="5"/>
      <c r="CZ129" s="5"/>
    </row>
    <row r="130" spans="1:104" ht="15" hidden="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0"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7"/>
      <c r="CB130" s="207"/>
      <c r="CC130" s="48"/>
      <c r="CD130" s="207"/>
      <c r="CE130" s="207"/>
      <c r="CF130" s="207"/>
      <c r="CG130" s="207" t="str">
        <f t="shared" si="107"/>
        <v/>
      </c>
      <c r="CH130" s="207" t="str">
        <f t="shared" si="108"/>
        <v/>
      </c>
      <c r="CI130" s="5" t="str">
        <f t="shared" si="109"/>
        <v/>
      </c>
      <c r="CJ130" s="5" t="b">
        <f t="shared" si="110"/>
        <v>0</v>
      </c>
      <c r="CK130" s="5" t="b">
        <f t="shared" si="111"/>
        <v>0</v>
      </c>
      <c r="CL130" s="5" t="b">
        <f t="shared" si="112"/>
        <v>0</v>
      </c>
      <c r="CM130" s="5" t="b">
        <f t="shared" si="113"/>
        <v>0</v>
      </c>
      <c r="CN130" s="5" t="str">
        <f t="shared" si="114"/>
        <v/>
      </c>
      <c r="CO130" s="5" t="str">
        <f t="shared" si="115"/>
        <v/>
      </c>
      <c r="CP130" s="5" t="str">
        <f t="shared" si="116"/>
        <v/>
      </c>
      <c r="CQ130" s="5" t="str">
        <f t="shared" si="117"/>
        <v/>
      </c>
      <c r="CR130" s="5" t="str">
        <f t="shared" si="118"/>
        <v/>
      </c>
      <c r="CS130" s="5" t="str">
        <f t="shared" si="119"/>
        <v/>
      </c>
      <c r="CT130" s="5" t="str">
        <f t="shared" si="120"/>
        <v/>
      </c>
      <c r="CU130" s="5" t="str">
        <f t="shared" si="121"/>
        <v/>
      </c>
      <c r="CV130" s="5" t="b">
        <f t="shared" si="122"/>
        <v>0</v>
      </c>
      <c r="CW130" s="5"/>
      <c r="CX130" s="5"/>
      <c r="CY130" s="5"/>
      <c r="CZ130" s="5"/>
    </row>
    <row r="131" spans="1:104" ht="15" hidden="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0"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7"/>
      <c r="CD131" s="207"/>
      <c r="CE131" s="207"/>
      <c r="CF131" s="207"/>
      <c r="CG131" s="207" t="str">
        <f t="shared" si="107"/>
        <v/>
      </c>
      <c r="CH131" s="207" t="str">
        <f t="shared" si="108"/>
        <v/>
      </c>
      <c r="CI131" s="5" t="str">
        <f t="shared" si="109"/>
        <v/>
      </c>
      <c r="CJ131" s="5" t="b">
        <f t="shared" si="110"/>
        <v>0</v>
      </c>
      <c r="CK131" s="5" t="b">
        <f t="shared" si="111"/>
        <v>0</v>
      </c>
      <c r="CL131" s="5" t="b">
        <f t="shared" si="112"/>
        <v>0</v>
      </c>
      <c r="CM131" s="5" t="b">
        <f t="shared" si="113"/>
        <v>0</v>
      </c>
      <c r="CN131" s="5" t="str">
        <f t="shared" si="114"/>
        <v/>
      </c>
      <c r="CO131" s="5" t="str">
        <f t="shared" si="115"/>
        <v/>
      </c>
      <c r="CP131" s="5" t="str">
        <f t="shared" si="116"/>
        <v/>
      </c>
      <c r="CQ131" s="5" t="str">
        <f t="shared" si="117"/>
        <v/>
      </c>
      <c r="CR131" s="5" t="str">
        <f t="shared" si="118"/>
        <v/>
      </c>
      <c r="CS131" s="5" t="str">
        <f t="shared" si="119"/>
        <v/>
      </c>
      <c r="CT131" s="5" t="str">
        <f t="shared" si="120"/>
        <v/>
      </c>
      <c r="CU131" s="5" t="str">
        <f t="shared" si="121"/>
        <v/>
      </c>
      <c r="CV131" s="5" t="b">
        <f t="shared" si="122"/>
        <v>0</v>
      </c>
      <c r="CW131" s="5"/>
      <c r="CX131" s="5"/>
      <c r="CY131" s="5"/>
      <c r="CZ131" s="5"/>
    </row>
    <row r="132" spans="1:104" ht="15" hidden="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1" t="str">
        <f t="shared" si="155"/>
        <v/>
      </c>
      <c r="BZ132" s="207"/>
      <c r="CA132" s="60"/>
      <c r="CB132" s="4"/>
      <c r="CC132" s="207"/>
      <c r="CD132" s="207"/>
      <c r="CE132" s="207"/>
      <c r="CF132" s="207"/>
      <c r="CG132" s="207" t="str">
        <f t="shared" si="107"/>
        <v/>
      </c>
      <c r="CH132" s="207" t="str">
        <f t="shared" si="108"/>
        <v/>
      </c>
      <c r="CI132" s="5" t="str">
        <f t="shared" si="109"/>
        <v/>
      </c>
      <c r="CJ132" s="5" t="b">
        <f t="shared" si="110"/>
        <v>0</v>
      </c>
      <c r="CK132" s="5" t="b">
        <f t="shared" si="111"/>
        <v>0</v>
      </c>
      <c r="CL132" s="5" t="b">
        <f t="shared" si="112"/>
        <v>0</v>
      </c>
      <c r="CM132" s="5" t="b">
        <f t="shared" si="113"/>
        <v>0</v>
      </c>
      <c r="CN132" s="5" t="str">
        <f t="shared" si="114"/>
        <v/>
      </c>
      <c r="CO132" s="5" t="str">
        <f t="shared" si="115"/>
        <v/>
      </c>
      <c r="CP132" s="5" t="str">
        <f t="shared" si="116"/>
        <v/>
      </c>
      <c r="CQ132" s="5" t="str">
        <f t="shared" si="117"/>
        <v/>
      </c>
      <c r="CR132" s="5" t="str">
        <f t="shared" si="118"/>
        <v/>
      </c>
      <c r="CS132" s="5" t="str">
        <f t="shared" si="119"/>
        <v/>
      </c>
      <c r="CT132" s="5" t="str">
        <f t="shared" si="120"/>
        <v/>
      </c>
      <c r="CU132" s="5" t="str">
        <f t="shared" si="121"/>
        <v/>
      </c>
      <c r="CV132" s="5" t="b">
        <f t="shared" si="122"/>
        <v>0</v>
      </c>
      <c r="CW132" s="5"/>
      <c r="CX132" s="5"/>
      <c r="CY132" s="5"/>
      <c r="CZ132" s="5"/>
    </row>
    <row r="133" spans="1:104" ht="15" hidden="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1" t="str">
        <f t="shared" si="156"/>
        <v/>
      </c>
      <c r="BZ133" s="207"/>
      <c r="CA133" s="60"/>
      <c r="CB133" s="4"/>
      <c r="CC133" s="48"/>
      <c r="CD133" s="207"/>
      <c r="CE133" s="207"/>
      <c r="CF133" s="207"/>
      <c r="CG133" s="207" t="str">
        <f t="shared" si="107"/>
        <v/>
      </c>
      <c r="CH133" s="207" t="str">
        <f t="shared" si="108"/>
        <v/>
      </c>
      <c r="CI133" s="5" t="str">
        <f t="shared" si="109"/>
        <v/>
      </c>
      <c r="CJ133" s="5" t="b">
        <f t="shared" si="110"/>
        <v>0</v>
      </c>
      <c r="CK133" s="5" t="b">
        <f t="shared" si="111"/>
        <v>0</v>
      </c>
      <c r="CL133" s="5" t="b">
        <f t="shared" si="112"/>
        <v>0</v>
      </c>
      <c r="CM133" s="5" t="b">
        <f t="shared" si="113"/>
        <v>0</v>
      </c>
      <c r="CN133" s="5" t="str">
        <f t="shared" si="114"/>
        <v/>
      </c>
      <c r="CO133" s="5" t="str">
        <f t="shared" si="115"/>
        <v/>
      </c>
      <c r="CP133" s="5" t="str">
        <f t="shared" si="116"/>
        <v/>
      </c>
      <c r="CQ133" s="5" t="str">
        <f t="shared" si="117"/>
        <v/>
      </c>
      <c r="CR133" s="5" t="str">
        <f t="shared" si="118"/>
        <v/>
      </c>
      <c r="CS133" s="5" t="str">
        <f t="shared" si="119"/>
        <v/>
      </c>
      <c r="CT133" s="5" t="str">
        <f t="shared" si="120"/>
        <v/>
      </c>
      <c r="CU133" s="5" t="str">
        <f t="shared" si="121"/>
        <v/>
      </c>
      <c r="CV133" s="5" t="b">
        <f t="shared" si="122"/>
        <v>0</v>
      </c>
      <c r="CW133" s="5"/>
      <c r="CX133" s="5"/>
      <c r="CY133" s="5"/>
      <c r="CZ133" s="5"/>
    </row>
    <row r="134" spans="1:104" ht="15" hidden="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1" t="str">
        <f t="shared" si="157"/>
        <v/>
      </c>
      <c r="BZ134" s="207"/>
      <c r="CA134" s="60"/>
      <c r="CB134" s="4"/>
      <c r="CC134" s="48"/>
      <c r="CD134" s="207"/>
      <c r="CE134" s="207"/>
      <c r="CF134" s="207"/>
      <c r="CG134" s="207" t="str">
        <f t="shared" si="107"/>
        <v/>
      </c>
      <c r="CH134" s="207" t="str">
        <f t="shared" si="108"/>
        <v/>
      </c>
      <c r="CI134" s="5" t="str">
        <f t="shared" si="109"/>
        <v/>
      </c>
      <c r="CJ134" s="5" t="b">
        <f t="shared" si="110"/>
        <v>0</v>
      </c>
      <c r="CK134" s="5" t="b">
        <f t="shared" si="111"/>
        <v>0</v>
      </c>
      <c r="CL134" s="5" t="b">
        <f t="shared" si="112"/>
        <v>0</v>
      </c>
      <c r="CM134" s="5" t="b">
        <f t="shared" si="113"/>
        <v>0</v>
      </c>
      <c r="CN134" s="5" t="str">
        <f t="shared" si="114"/>
        <v/>
      </c>
      <c r="CO134" s="5" t="str">
        <f t="shared" si="115"/>
        <v/>
      </c>
      <c r="CP134" s="5" t="str">
        <f t="shared" si="116"/>
        <v/>
      </c>
      <c r="CQ134" s="5" t="str">
        <f t="shared" si="117"/>
        <v/>
      </c>
      <c r="CR134" s="5" t="str">
        <f t="shared" si="118"/>
        <v/>
      </c>
      <c r="CS134" s="5" t="str">
        <f t="shared" si="119"/>
        <v/>
      </c>
      <c r="CT134" s="5" t="str">
        <f t="shared" si="120"/>
        <v/>
      </c>
      <c r="CU134" s="5" t="str">
        <f t="shared" si="121"/>
        <v/>
      </c>
      <c r="CV134" s="5" t="b">
        <f t="shared" si="122"/>
        <v>0</v>
      </c>
      <c r="CW134" s="5"/>
      <c r="CX134" s="5"/>
      <c r="CY134" s="5"/>
      <c r="CZ134" s="5"/>
    </row>
    <row r="135" spans="1:104" ht="15" hidden="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1" t="str">
        <f t="shared" si="158"/>
        <v/>
      </c>
      <c r="BZ135" s="207"/>
      <c r="CA135" s="207"/>
      <c r="CB135" s="207"/>
      <c r="CC135" s="48"/>
      <c r="CD135" s="207"/>
      <c r="CE135" s="207"/>
      <c r="CF135" s="207"/>
      <c r="CG135" s="207" t="str">
        <f t="shared" si="107"/>
        <v/>
      </c>
      <c r="CH135" s="207" t="str">
        <f t="shared" si="108"/>
        <v/>
      </c>
      <c r="CI135" s="5" t="str">
        <f t="shared" si="109"/>
        <v/>
      </c>
      <c r="CJ135" s="5" t="b">
        <f t="shared" si="110"/>
        <v>0</v>
      </c>
      <c r="CK135" s="5" t="b">
        <f t="shared" si="111"/>
        <v>0</v>
      </c>
      <c r="CL135" s="5" t="b">
        <f t="shared" si="112"/>
        <v>0</v>
      </c>
      <c r="CM135" s="5" t="b">
        <f t="shared" si="113"/>
        <v>0</v>
      </c>
      <c r="CN135" s="5" t="str">
        <f t="shared" si="114"/>
        <v/>
      </c>
      <c r="CO135" s="5" t="str">
        <f t="shared" si="115"/>
        <v/>
      </c>
      <c r="CP135" s="5" t="str">
        <f t="shared" si="116"/>
        <v/>
      </c>
      <c r="CQ135" s="5" t="str">
        <f t="shared" si="117"/>
        <v/>
      </c>
      <c r="CR135" s="5" t="str">
        <f t="shared" si="118"/>
        <v/>
      </c>
      <c r="CS135" s="5" t="str">
        <f t="shared" si="119"/>
        <v/>
      </c>
      <c r="CT135" s="5" t="str">
        <f t="shared" si="120"/>
        <v/>
      </c>
      <c r="CU135" s="5" t="str">
        <f t="shared" si="121"/>
        <v/>
      </c>
      <c r="CV135" s="5" t="b">
        <f t="shared" si="122"/>
        <v>0</v>
      </c>
      <c r="CW135" s="5"/>
      <c r="CX135" s="5"/>
      <c r="CY135" s="5"/>
      <c r="CZ135" s="5"/>
    </row>
    <row r="136" spans="1:104" ht="15" hidden="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1" t="str">
        <f t="shared" si="159"/>
        <v/>
      </c>
      <c r="BZ136" s="207"/>
      <c r="CA136" s="207"/>
      <c r="CB136" s="207"/>
      <c r="CC136" s="48"/>
      <c r="CD136" s="207"/>
      <c r="CE136" s="207"/>
      <c r="CF136" s="207"/>
      <c r="CG136" s="207" t="str">
        <f t="shared" si="107"/>
        <v/>
      </c>
      <c r="CH136" s="207" t="str">
        <f t="shared" si="108"/>
        <v/>
      </c>
      <c r="CI136" s="5" t="str">
        <f t="shared" si="109"/>
        <v/>
      </c>
      <c r="CJ136" s="5" t="b">
        <f t="shared" si="110"/>
        <v>0</v>
      </c>
      <c r="CK136" s="5" t="b">
        <f t="shared" si="111"/>
        <v>0</v>
      </c>
      <c r="CL136" s="5" t="b">
        <f t="shared" si="112"/>
        <v>0</v>
      </c>
      <c r="CM136" s="5" t="b">
        <f t="shared" si="113"/>
        <v>0</v>
      </c>
      <c r="CN136" s="5" t="str">
        <f t="shared" si="114"/>
        <v/>
      </c>
      <c r="CO136" s="5" t="str">
        <f t="shared" si="115"/>
        <v/>
      </c>
      <c r="CP136" s="5" t="str">
        <f t="shared" si="116"/>
        <v/>
      </c>
      <c r="CQ136" s="5" t="str">
        <f t="shared" si="117"/>
        <v/>
      </c>
      <c r="CR136" s="5" t="str">
        <f t="shared" si="118"/>
        <v/>
      </c>
      <c r="CS136" s="5" t="str">
        <f t="shared" si="119"/>
        <v/>
      </c>
      <c r="CT136" s="5" t="str">
        <f t="shared" si="120"/>
        <v/>
      </c>
      <c r="CU136" s="5" t="str">
        <f t="shared" si="121"/>
        <v/>
      </c>
      <c r="CV136" s="5" t="b">
        <f t="shared" si="122"/>
        <v>0</v>
      </c>
      <c r="CW136" s="5"/>
      <c r="CX136" s="5"/>
      <c r="CY136" s="5"/>
      <c r="CZ136" s="5"/>
    </row>
    <row r="137" spans="1:104" ht="15" hidden="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1" t="str">
        <f t="shared" si="160"/>
        <v/>
      </c>
      <c r="BZ137" s="207"/>
      <c r="CA137" s="207"/>
      <c r="CB137" s="207"/>
      <c r="CC137" s="48"/>
      <c r="CD137" s="207"/>
      <c r="CE137" s="207"/>
      <c r="CF137" s="207"/>
      <c r="CG137" s="207" t="str">
        <f t="shared" si="107"/>
        <v/>
      </c>
      <c r="CH137" s="207" t="str">
        <f t="shared" si="108"/>
        <v/>
      </c>
      <c r="CI137" s="5" t="str">
        <f t="shared" si="109"/>
        <v/>
      </c>
      <c r="CJ137" s="5" t="b">
        <f t="shared" si="110"/>
        <v>0</v>
      </c>
      <c r="CK137" s="5" t="b">
        <f t="shared" si="111"/>
        <v>0</v>
      </c>
      <c r="CL137" s="5" t="b">
        <f t="shared" si="112"/>
        <v>0</v>
      </c>
      <c r="CM137" s="5" t="b">
        <f t="shared" si="113"/>
        <v>0</v>
      </c>
      <c r="CN137" s="5" t="str">
        <f t="shared" si="114"/>
        <v/>
      </c>
      <c r="CO137" s="5" t="str">
        <f t="shared" si="115"/>
        <v/>
      </c>
      <c r="CP137" s="5" t="str">
        <f t="shared" si="116"/>
        <v/>
      </c>
      <c r="CQ137" s="5" t="str">
        <f t="shared" si="117"/>
        <v/>
      </c>
      <c r="CR137" s="5" t="str">
        <f t="shared" si="118"/>
        <v/>
      </c>
      <c r="CS137" s="5" t="str">
        <f t="shared" si="119"/>
        <v/>
      </c>
      <c r="CT137" s="5" t="str">
        <f t="shared" si="120"/>
        <v/>
      </c>
      <c r="CU137" s="5" t="str">
        <f t="shared" si="121"/>
        <v/>
      </c>
      <c r="CV137" s="5" t="b">
        <f t="shared" si="122"/>
        <v>0</v>
      </c>
      <c r="CW137" s="5"/>
      <c r="CX137" s="5"/>
      <c r="CY137" s="5"/>
      <c r="CZ137" s="5"/>
    </row>
    <row r="138" spans="1:104" ht="15" hidden="1"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1" t="str">
        <f t="shared" si="161"/>
        <v/>
      </c>
      <c r="BZ138" s="207"/>
      <c r="CA138" s="60"/>
      <c r="CB138" s="4"/>
      <c r="CC138" s="48"/>
      <c r="CD138" s="207"/>
      <c r="CE138" s="207"/>
      <c r="CF138" s="207"/>
      <c r="CG138" s="207" t="str">
        <f t="shared" si="107"/>
        <v/>
      </c>
      <c r="CH138" s="207" t="str">
        <f t="shared" si="108"/>
        <v/>
      </c>
      <c r="CI138" s="5" t="str">
        <f t="shared" si="109"/>
        <v/>
      </c>
      <c r="CJ138" s="5" t="b">
        <f t="shared" si="110"/>
        <v>0</v>
      </c>
      <c r="CK138" s="5" t="b">
        <f t="shared" si="111"/>
        <v>0</v>
      </c>
      <c r="CL138" s="5" t="b">
        <f t="shared" si="112"/>
        <v>0</v>
      </c>
      <c r="CM138" s="5" t="b">
        <f t="shared" si="113"/>
        <v>0</v>
      </c>
      <c r="CN138" s="5" t="str">
        <f t="shared" si="114"/>
        <v/>
      </c>
      <c r="CO138" s="5" t="str">
        <f t="shared" si="115"/>
        <v/>
      </c>
      <c r="CP138" s="5" t="str">
        <f t="shared" si="116"/>
        <v/>
      </c>
      <c r="CQ138" s="5" t="str">
        <f t="shared" si="117"/>
        <v/>
      </c>
      <c r="CR138" s="5" t="str">
        <f t="shared" si="118"/>
        <v/>
      </c>
      <c r="CS138" s="5" t="str">
        <f t="shared" si="119"/>
        <v/>
      </c>
      <c r="CT138" s="5" t="str">
        <f t="shared" si="120"/>
        <v/>
      </c>
      <c r="CU138" s="5" t="str">
        <f t="shared" si="121"/>
        <v/>
      </c>
      <c r="CV138" s="5" t="b">
        <f t="shared" si="122"/>
        <v>0</v>
      </c>
      <c r="CW138" s="5"/>
      <c r="CX138" s="5"/>
      <c r="CY138" s="5"/>
      <c r="CZ138" s="5"/>
    </row>
    <row r="139" spans="1:104" ht="15" hidden="1"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1" t="str">
        <f t="shared" si="162"/>
        <v/>
      </c>
      <c r="BZ139" s="207"/>
      <c r="CA139" s="207"/>
      <c r="CB139" s="207"/>
      <c r="CC139" s="207"/>
      <c r="CD139" s="207"/>
      <c r="CE139" s="4"/>
      <c r="CF139" s="207"/>
      <c r="CG139" s="207" t="str">
        <f t="shared" si="107"/>
        <v/>
      </c>
      <c r="CH139" s="207" t="str">
        <f t="shared" si="108"/>
        <v/>
      </c>
      <c r="CI139" s="5" t="str">
        <f t="shared" si="109"/>
        <v/>
      </c>
      <c r="CJ139" s="5" t="b">
        <f t="shared" si="110"/>
        <v>0</v>
      </c>
      <c r="CK139" s="5" t="b">
        <f t="shared" si="111"/>
        <v>0</v>
      </c>
      <c r="CL139" s="5" t="b">
        <f t="shared" si="112"/>
        <v>0</v>
      </c>
      <c r="CM139" s="5" t="b">
        <f t="shared" si="113"/>
        <v>0</v>
      </c>
      <c r="CN139" s="5" t="str">
        <f t="shared" si="114"/>
        <v/>
      </c>
      <c r="CO139" s="5" t="str">
        <f t="shared" si="115"/>
        <v/>
      </c>
      <c r="CP139" s="5" t="str">
        <f t="shared" si="116"/>
        <v/>
      </c>
      <c r="CQ139" s="5" t="str">
        <f t="shared" si="117"/>
        <v/>
      </c>
      <c r="CR139" s="5" t="str">
        <f t="shared" si="118"/>
        <v/>
      </c>
      <c r="CS139" s="5" t="str">
        <f t="shared" si="119"/>
        <v/>
      </c>
      <c r="CT139" s="5" t="str">
        <f t="shared" si="120"/>
        <v/>
      </c>
      <c r="CU139" s="5" t="str">
        <f t="shared" si="121"/>
        <v/>
      </c>
      <c r="CV139" s="5" t="b">
        <f t="shared" si="122"/>
        <v>0</v>
      </c>
      <c r="CW139" s="5"/>
      <c r="CX139" s="5"/>
      <c r="CY139" s="5"/>
      <c r="CZ139" s="5"/>
    </row>
    <row r="140" spans="1:104" ht="15" hidden="1"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1" t="str">
        <f t="shared" si="163"/>
        <v/>
      </c>
      <c r="BZ140" s="207"/>
      <c r="CA140" s="207"/>
      <c r="CB140" s="207"/>
      <c r="CC140" s="48"/>
      <c r="CD140" s="207"/>
      <c r="CE140" s="4"/>
      <c r="CF140" s="207"/>
      <c r="CG140" s="207">
        <f t="shared" si="107"/>
        <v>0</v>
      </c>
      <c r="CH140" s="207">
        <f t="shared" si="108"/>
        <v>0</v>
      </c>
      <c r="CI140" s="5">
        <f t="shared" si="109"/>
        <v>0</v>
      </c>
      <c r="CJ140" s="5" t="b">
        <f t="shared" si="110"/>
        <v>0</v>
      </c>
      <c r="CK140" s="5" t="b">
        <f t="shared" si="111"/>
        <v>0</v>
      </c>
      <c r="CL140" s="5" t="b">
        <f t="shared" si="112"/>
        <v>0</v>
      </c>
      <c r="CM140" s="5" t="b">
        <f t="shared" si="113"/>
        <v>0</v>
      </c>
      <c r="CN140" s="5">
        <f t="shared" si="114"/>
        <v>0</v>
      </c>
      <c r="CO140" s="5">
        <f t="shared" si="115"/>
        <v>0</v>
      </c>
      <c r="CP140" s="5">
        <f t="shared" si="116"/>
        <v>0</v>
      </c>
      <c r="CQ140" s="5">
        <f t="shared" si="117"/>
        <v>0</v>
      </c>
      <c r="CR140" s="5">
        <f t="shared" si="118"/>
        <v>0</v>
      </c>
      <c r="CS140" s="5">
        <f t="shared" si="119"/>
        <v>0</v>
      </c>
      <c r="CT140" s="5">
        <f t="shared" si="120"/>
        <v>0</v>
      </c>
      <c r="CU140" s="5">
        <f t="shared" si="121"/>
        <v>0</v>
      </c>
      <c r="CV140" s="5" t="b">
        <f t="shared" si="122"/>
        <v>0</v>
      </c>
      <c r="CW140" s="5"/>
      <c r="CX140" s="5"/>
      <c r="CY140" s="5"/>
      <c r="CZ140" s="5"/>
    </row>
    <row r="141" spans="1:104" ht="15" hidden="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7"/>
      <c r="BZ141" s="207"/>
      <c r="CA141" s="207"/>
      <c r="CB141" s="207"/>
      <c r="CC141" s="48"/>
      <c r="CD141" s="207"/>
      <c r="CE141" s="4"/>
      <c r="CF141" s="207"/>
      <c r="CG141" s="207"/>
      <c r="CH141" s="207"/>
      <c r="CI141" s="5"/>
      <c r="CJ141" s="5"/>
      <c r="CK141" s="5"/>
      <c r="CL141" s="5"/>
      <c r="CM141" s="5"/>
      <c r="CN141" s="5"/>
      <c r="CO141" s="5"/>
      <c r="CP141" s="5"/>
      <c r="CQ141" s="5"/>
      <c r="CR141" s="5"/>
      <c r="CS141" s="5"/>
      <c r="CT141" s="5"/>
      <c r="CU141" s="5"/>
      <c r="CV141" s="5"/>
      <c r="CW141" s="5"/>
      <c r="CX141" s="5"/>
      <c r="CY141" s="5"/>
      <c r="CZ141" s="5"/>
    </row>
    <row r="142" spans="1:104" ht="1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7"/>
      <c r="BZ142" s="207"/>
      <c r="CA142" s="60"/>
      <c r="CB142" s="4"/>
      <c r="CC142" s="207"/>
      <c r="CD142" s="207"/>
      <c r="CE142" s="4"/>
      <c r="CF142" s="207"/>
      <c r="CG142" s="207"/>
      <c r="CH142" s="207"/>
      <c r="CI142" s="5"/>
      <c r="CJ142" s="5"/>
      <c r="CK142" s="5"/>
      <c r="CL142" s="5"/>
      <c r="CM142" s="5"/>
      <c r="CN142" s="5"/>
      <c r="CO142" s="5"/>
      <c r="CP142" s="5"/>
      <c r="CQ142" s="5"/>
      <c r="CR142" s="5"/>
      <c r="CS142" s="5"/>
      <c r="CT142" s="5"/>
      <c r="CU142" s="5"/>
      <c r="CV142" s="5"/>
      <c r="CW142" s="5"/>
      <c r="CX142" s="5"/>
      <c r="CY142" s="5"/>
      <c r="CZ142" s="5"/>
    </row>
    <row r="143" spans="1:104" ht="15" hidden="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7"/>
      <c r="BZ143" s="207"/>
      <c r="CA143" s="60"/>
      <c r="CB143" s="4"/>
      <c r="CC143" s="207"/>
      <c r="CD143" s="207"/>
      <c r="CE143" s="4"/>
      <c r="CF143" s="207"/>
      <c r="CG143" s="207"/>
      <c r="CH143" s="207"/>
      <c r="CI143" s="5"/>
      <c r="CJ143" s="5"/>
      <c r="CK143" s="5"/>
      <c r="CL143" s="5"/>
      <c r="CM143" s="5"/>
      <c r="CN143" s="5"/>
      <c r="CO143" s="5"/>
      <c r="CP143" s="5"/>
      <c r="CQ143" s="5"/>
      <c r="CR143" s="5"/>
      <c r="CS143" s="5"/>
      <c r="CT143" s="5"/>
      <c r="CU143" s="5"/>
      <c r="CV143" s="5"/>
      <c r="CW143" s="5"/>
      <c r="CX143" s="5"/>
      <c r="CY143" s="5"/>
      <c r="CZ143" s="5"/>
    </row>
    <row r="144" spans="1:104" ht="15" hidden="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7"/>
      <c r="BZ144" s="207"/>
      <c r="CA144" s="60"/>
      <c r="CB144" s="4"/>
      <c r="CC144" s="207"/>
      <c r="CD144" s="207"/>
      <c r="CE144" s="4"/>
      <c r="CF144" s="207"/>
      <c r="CG144" s="207"/>
      <c r="CH144" s="207"/>
      <c r="CI144" s="5"/>
      <c r="CJ144" s="5"/>
      <c r="CK144" s="5"/>
      <c r="CL144" s="5"/>
      <c r="CM144" s="5"/>
      <c r="CN144" s="5"/>
      <c r="CO144" s="5"/>
      <c r="CP144" s="5"/>
      <c r="CQ144" s="5"/>
      <c r="CR144" s="5"/>
      <c r="CS144" s="5"/>
      <c r="CT144" s="5"/>
      <c r="CU144" s="5"/>
      <c r="CV144" s="5"/>
      <c r="CW144" s="5"/>
      <c r="CX144" s="5"/>
      <c r="CY144" s="5"/>
      <c r="CZ144" s="5"/>
    </row>
    <row r="145" spans="1:104" ht="15" hidden="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7"/>
      <c r="BZ145" s="207"/>
      <c r="CA145" s="60"/>
      <c r="CB145" s="4"/>
      <c r="CC145" s="48"/>
      <c r="CD145" s="207"/>
      <c r="CE145" s="4"/>
      <c r="CF145" s="207"/>
      <c r="CG145" s="207"/>
      <c r="CH145" s="207"/>
      <c r="CI145" s="5"/>
      <c r="CJ145" s="5"/>
      <c r="CK145" s="5"/>
      <c r="CL145" s="5"/>
      <c r="CM145" s="5"/>
      <c r="CN145" s="5"/>
      <c r="CO145" s="5"/>
      <c r="CP145" s="5"/>
      <c r="CQ145" s="5"/>
      <c r="CR145" s="5"/>
      <c r="CS145" s="5"/>
      <c r="CT145" s="5"/>
      <c r="CU145" s="5"/>
      <c r="CV145" s="5"/>
      <c r="CW145" s="5"/>
      <c r="CX145" s="5"/>
      <c r="CY145" s="5"/>
      <c r="CZ145" s="5"/>
    </row>
    <row r="146" spans="1:104" ht="1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7"/>
      <c r="BZ146" s="207"/>
      <c r="CA146" s="60"/>
      <c r="CB146" s="4"/>
      <c r="CC146" s="48"/>
      <c r="CD146" s="207"/>
      <c r="CE146" s="4"/>
      <c r="CF146" s="207"/>
      <c r="CG146" s="207"/>
      <c r="CH146" s="4"/>
      <c r="CI146" s="5"/>
      <c r="CJ146" s="5"/>
      <c r="CK146" s="5"/>
      <c r="CL146" s="5"/>
      <c r="CM146" s="5"/>
      <c r="CN146" s="5"/>
      <c r="CO146" s="5"/>
      <c r="CP146" s="5"/>
      <c r="CQ146" s="5"/>
      <c r="CR146" s="5"/>
      <c r="CS146" s="5"/>
      <c r="CT146" s="5"/>
      <c r="CU146" s="5"/>
      <c r="CV146" s="5"/>
      <c r="CW146" s="5"/>
      <c r="CX146" s="5"/>
      <c r="CY146" s="5"/>
      <c r="CZ146" s="5"/>
    </row>
    <row r="147" spans="1:104" ht="1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7"/>
      <c r="BZ147" s="207"/>
      <c r="CA147" s="60"/>
      <c r="CB147" s="4"/>
      <c r="CC147" s="48"/>
      <c r="CD147" s="207"/>
      <c r="CE147" s="4"/>
      <c r="CF147" s="207"/>
      <c r="CG147" s="207"/>
      <c r="CH147" s="4"/>
      <c r="CI147" s="5"/>
      <c r="CJ147" s="5"/>
      <c r="CK147" s="5"/>
      <c r="CL147" s="5"/>
      <c r="CM147" s="5"/>
      <c r="CN147" s="5"/>
      <c r="CO147" s="5"/>
      <c r="CP147" s="5"/>
      <c r="CQ147" s="5"/>
      <c r="CR147" s="5"/>
      <c r="CS147" s="5"/>
      <c r="CT147" s="5"/>
      <c r="CU147" s="5"/>
      <c r="CV147" s="5"/>
      <c r="CW147" s="5"/>
      <c r="CX147" s="5"/>
      <c r="CY147" s="5"/>
      <c r="CZ147" s="5"/>
    </row>
    <row r="148" spans="1:104" ht="1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7"/>
      <c r="BZ148" s="207"/>
      <c r="CA148" s="207"/>
      <c r="CB148" s="207"/>
      <c r="CC148" s="48"/>
      <c r="CD148" s="207"/>
      <c r="CE148" s="4"/>
      <c r="CF148" s="207"/>
      <c r="CG148" s="207"/>
      <c r="CH148" s="4"/>
      <c r="CI148" s="5"/>
      <c r="CJ148" s="5"/>
      <c r="CK148" s="5"/>
      <c r="CL148" s="5"/>
      <c r="CM148" s="5"/>
      <c r="CN148" s="5"/>
      <c r="CO148" s="5"/>
      <c r="CP148" s="5"/>
      <c r="CQ148" s="5"/>
      <c r="CR148" s="5"/>
      <c r="CS148" s="5"/>
      <c r="CT148" s="5"/>
      <c r="CU148" s="5"/>
      <c r="CV148" s="5"/>
      <c r="CW148" s="5"/>
      <c r="CX148" s="5"/>
      <c r="CY148" s="5"/>
      <c r="CZ148" s="5"/>
    </row>
    <row r="149" spans="1:104" ht="1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7"/>
      <c r="BZ149" s="207"/>
      <c r="CA149" s="207"/>
      <c r="CB149" s="207"/>
      <c r="CC149" s="48"/>
      <c r="CD149" s="207"/>
      <c r="CE149" s="4"/>
      <c r="CF149" s="207"/>
      <c r="CG149" s="207"/>
      <c r="CH149" s="4"/>
      <c r="CI149" s="5"/>
      <c r="CJ149" s="5"/>
      <c r="CK149" s="5"/>
      <c r="CL149" s="5"/>
      <c r="CM149" s="5"/>
      <c r="CN149" s="5"/>
      <c r="CO149" s="5"/>
      <c r="CP149" s="5"/>
      <c r="CQ149" s="5"/>
      <c r="CR149" s="5"/>
      <c r="CS149" s="5"/>
      <c r="CT149" s="5"/>
      <c r="CU149" s="5"/>
      <c r="CV149" s="5"/>
      <c r="CW149" s="5"/>
      <c r="CX149" s="5"/>
      <c r="CY149" s="5"/>
      <c r="CZ149" s="5"/>
    </row>
    <row r="150" spans="1:104" ht="1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7"/>
      <c r="BZ150" s="207"/>
      <c r="CA150" s="207"/>
      <c r="CB150" s="207"/>
      <c r="CC150" s="48"/>
      <c r="CD150" s="207"/>
      <c r="CE150" s="4"/>
      <c r="CF150" s="207"/>
      <c r="CG150" s="207"/>
      <c r="CH150" s="4"/>
      <c r="CI150" s="5"/>
      <c r="CJ150" s="5"/>
      <c r="CK150" s="5"/>
      <c r="CL150" s="5"/>
      <c r="CM150" s="5"/>
      <c r="CN150" s="5"/>
      <c r="CO150" s="5"/>
      <c r="CP150" s="5"/>
      <c r="CQ150" s="5"/>
      <c r="CR150" s="5"/>
      <c r="CS150" s="5"/>
      <c r="CT150" s="5"/>
      <c r="CU150" s="5"/>
      <c r="CV150" s="5"/>
      <c r="CW150" s="5"/>
      <c r="CX150" s="5"/>
      <c r="CY150" s="5"/>
      <c r="CZ150" s="5"/>
    </row>
    <row r="151" spans="1:104" ht="1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7"/>
      <c r="BZ151" s="207"/>
      <c r="CA151" s="207"/>
      <c r="CB151" s="207"/>
      <c r="CC151" s="207"/>
      <c r="CD151" s="207"/>
      <c r="CE151" s="4"/>
      <c r="CF151" s="207"/>
      <c r="CG151" s="207"/>
      <c r="CH151" s="4"/>
      <c r="CI151" s="5"/>
      <c r="CJ151" s="5"/>
      <c r="CK151" s="5"/>
      <c r="CL151" s="5"/>
      <c r="CM151" s="5"/>
      <c r="CN151" s="5"/>
      <c r="CO151" s="5"/>
      <c r="CP151" s="5"/>
      <c r="CQ151" s="5"/>
      <c r="CR151" s="5"/>
      <c r="CS151" s="5"/>
      <c r="CT151" s="5"/>
      <c r="CU151" s="5"/>
      <c r="CV151" s="5"/>
      <c r="CW151" s="5"/>
      <c r="CX151" s="5"/>
      <c r="CY151" s="5"/>
      <c r="CZ151" s="5"/>
    </row>
    <row r="152" spans="1:104" ht="1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7"/>
      <c r="BZ152" s="207"/>
      <c r="CA152" s="207"/>
      <c r="CB152" s="207"/>
      <c r="CC152" s="207"/>
      <c r="CD152" s="207"/>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7"/>
      <c r="BZ153" s="207"/>
      <c r="CA153" s="60"/>
      <c r="CB153" s="4"/>
      <c r="CC153" s="48"/>
      <c r="CD153" s="207"/>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7"/>
      <c r="BZ154" s="207"/>
      <c r="CA154" s="60"/>
      <c r="CB154" s="4"/>
      <c r="CC154" s="48"/>
      <c r="CD154" s="207"/>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7"/>
      <c r="BZ155" s="207"/>
      <c r="CA155" s="60"/>
      <c r="CB155" s="4"/>
      <c r="CC155" s="48"/>
      <c r="CD155" s="207"/>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7"/>
      <c r="BZ156" s="207"/>
      <c r="CA156" s="60"/>
      <c r="CB156" s="4"/>
      <c r="CC156" s="48"/>
      <c r="CD156" s="207"/>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7"/>
      <c r="BZ157" s="207"/>
      <c r="CA157" s="60"/>
      <c r="CB157" s="4"/>
      <c r="CC157" s="207"/>
      <c r="CD157" s="207"/>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7"/>
      <c r="BZ158" s="207"/>
      <c r="CA158" s="60"/>
      <c r="CB158" s="4"/>
      <c r="CC158" s="48"/>
      <c r="CD158" s="207"/>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7"/>
      <c r="BZ159" s="207"/>
      <c r="CA159" s="60"/>
      <c r="CB159" s="4"/>
      <c r="CC159" s="48"/>
      <c r="CD159" s="207"/>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7"/>
      <c r="BZ160" s="207"/>
      <c r="CA160" s="207"/>
      <c r="CB160" s="207"/>
      <c r="CC160" s="48"/>
      <c r="CD160" s="207"/>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7"/>
      <c r="BZ161" s="207"/>
      <c r="CA161" s="207"/>
      <c r="CB161" s="207"/>
      <c r="CC161" s="48"/>
      <c r="CD161" s="207"/>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7"/>
      <c r="BZ162" s="207"/>
      <c r="CA162" s="207"/>
      <c r="CB162" s="207"/>
      <c r="CC162" s="48"/>
      <c r="CD162" s="207"/>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7"/>
      <c r="BZ163" s="207"/>
      <c r="CA163" s="207"/>
      <c r="CB163" s="207"/>
      <c r="CC163" s="48"/>
      <c r="CD163" s="207"/>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7"/>
      <c r="BZ164" s="207"/>
      <c r="CA164" s="60"/>
      <c r="CB164" s="4"/>
      <c r="CC164" s="207"/>
      <c r="CD164" s="207"/>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7"/>
      <c r="BZ165" s="207"/>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7"/>
      <c r="BZ166" s="207"/>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7"/>
      <c r="BZ167" s="207"/>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7"/>
      <c r="BZ168" s="207"/>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7"/>
      <c r="BZ169" s="207"/>
      <c r="CA169" s="207"/>
      <c r="CB169" s="207"/>
      <c r="CC169" s="207"/>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7"/>
      <c r="BZ170" s="207"/>
      <c r="CA170" s="207"/>
      <c r="CB170" s="207"/>
      <c r="CC170" s="207"/>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7"/>
      <c r="BZ171" s="207"/>
      <c r="CA171" s="207"/>
      <c r="CB171" s="207"/>
      <c r="CC171" s="207"/>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7"/>
      <c r="BZ172" s="207"/>
      <c r="CA172" s="207"/>
      <c r="CB172" s="207"/>
      <c r="CC172" s="207"/>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7"/>
      <c r="BZ173" s="207"/>
      <c r="CA173" s="207"/>
      <c r="CB173" s="207"/>
      <c r="CC173" s="207"/>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7"/>
      <c r="BZ174" s="207"/>
      <c r="CA174" s="207"/>
      <c r="CB174" s="207"/>
      <c r="CC174" s="207"/>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7"/>
      <c r="BZ175" s="207"/>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7"/>
      <c r="BZ176" s="207"/>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7"/>
      <c r="BZ177" s="207"/>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7"/>
      <c r="BZ178" s="207"/>
      <c r="CA178" s="207"/>
      <c r="CB178" s="207"/>
      <c r="CC178" s="207"/>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7"/>
      <c r="BZ179" s="207"/>
      <c r="CA179" s="207"/>
      <c r="CB179" s="207"/>
      <c r="CC179" s="207"/>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7"/>
      <c r="BZ180" s="207"/>
      <c r="CA180" s="207"/>
      <c r="CB180" s="207"/>
      <c r="CC180" s="207"/>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7"/>
      <c r="BZ181" s="207"/>
      <c r="CA181" s="207"/>
      <c r="CB181" s="207"/>
      <c r="CC181" s="207"/>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7"/>
      <c r="BZ182" s="207"/>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7"/>
      <c r="BZ183" s="207"/>
      <c r="CA183" s="207"/>
      <c r="CB183" s="207"/>
      <c r="CC183" s="207"/>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7"/>
      <c r="BZ184" s="207"/>
      <c r="CA184" s="207"/>
      <c r="CB184" s="207"/>
      <c r="CC184" s="207"/>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7"/>
      <c r="BZ185" s="207"/>
      <c r="CA185" s="207"/>
      <c r="CB185" s="207"/>
      <c r="CC185" s="207"/>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7"/>
      <c r="BZ186" s="207"/>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7"/>
      <c r="BZ187" s="207"/>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7"/>
      <c r="BZ188" s="207"/>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7"/>
      <c r="BZ189" s="207"/>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7"/>
      <c r="BZ190" s="207"/>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7"/>
      <c r="BZ191" s="207"/>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7"/>
      <c r="BZ192" s="207"/>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7"/>
      <c r="BZ193" s="207"/>
      <c r="CA193" s="207"/>
      <c r="CB193" s="207"/>
      <c r="CC193" s="207"/>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7"/>
      <c r="BZ194" s="207"/>
      <c r="CA194" s="207"/>
      <c r="CB194" s="207"/>
      <c r="CC194" s="207"/>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7"/>
      <c r="BZ195" s="207"/>
      <c r="CA195" s="207"/>
      <c r="CB195" s="207"/>
      <c r="CC195" s="207"/>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7"/>
      <c r="BZ196" s="207"/>
      <c r="CA196" s="207"/>
      <c r="CB196" s="207"/>
      <c r="CC196" s="207"/>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7"/>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7"/>
      <c r="BZ198" s="207"/>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7"/>
      <c r="BZ199" s="207"/>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7"/>
      <c r="BZ200" s="207"/>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7"/>
      <c r="BZ201" s="207"/>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7"/>
      <c r="BZ202" s="207"/>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7"/>
      <c r="BZ203" s="207"/>
      <c r="CA203" s="207"/>
      <c r="CB203" s="207"/>
      <c r="CC203" s="207"/>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7"/>
      <c r="BZ204" s="207"/>
      <c r="CA204" s="207"/>
      <c r="CB204" s="207"/>
      <c r="CC204" s="207"/>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7"/>
      <c r="BZ205" s="207"/>
      <c r="CA205" s="207"/>
      <c r="CB205" s="207"/>
      <c r="CC205" s="207"/>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7"/>
      <c r="BZ206" s="207"/>
      <c r="CA206" s="207"/>
      <c r="CB206" s="207"/>
      <c r="CC206" s="207"/>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7"/>
      <c r="BZ207" s="207"/>
      <c r="CA207" s="207"/>
      <c r="CB207" s="207"/>
      <c r="CC207" s="207"/>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7"/>
      <c r="BZ208" s="207"/>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7"/>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7"/>
      <c r="BZ210" s="207"/>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7"/>
      <c r="BZ211" s="207"/>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7"/>
      <c r="BZ212" s="207"/>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7"/>
      <c r="BZ213" s="207"/>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7"/>
      <c r="BZ214" s="207"/>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7"/>
      <c r="BZ215" s="207"/>
      <c r="CA215" s="207"/>
      <c r="CB215" s="207"/>
      <c r="CC215" s="207"/>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7"/>
      <c r="BZ216" s="207"/>
      <c r="CA216" s="207"/>
      <c r="CB216" s="207"/>
      <c r="CC216" s="207"/>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7"/>
      <c r="BZ217" s="207"/>
      <c r="CA217" s="207"/>
      <c r="CB217" s="207"/>
      <c r="CC217" s="207"/>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7"/>
      <c r="BZ218" s="207"/>
      <c r="CA218" s="207"/>
      <c r="CB218" s="207"/>
      <c r="CC218" s="207"/>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7"/>
      <c r="BZ219" s="207"/>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7"/>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7"/>
      <c r="BZ221" s="207"/>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7"/>
      <c r="BZ222" s="207"/>
      <c r="CA222" s="207"/>
      <c r="CB222" s="207"/>
      <c r="CC222" s="207"/>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7"/>
      <c r="BZ223" s="207"/>
      <c r="CA223" s="207"/>
      <c r="CB223" s="207"/>
      <c r="CC223" s="207"/>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7"/>
      <c r="BZ224" s="207"/>
      <c r="CA224" s="207"/>
      <c r="CB224" s="207"/>
      <c r="CC224" s="207"/>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7"/>
      <c r="BZ225" s="207"/>
      <c r="CA225" s="207"/>
      <c r="CB225" s="207"/>
      <c r="CC225" s="207"/>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7"/>
      <c r="BZ226" s="207"/>
      <c r="CA226" s="207"/>
      <c r="CB226" s="207"/>
      <c r="CC226" s="207"/>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7"/>
      <c r="BZ227" s="207"/>
      <c r="CA227" s="207"/>
      <c r="CB227" s="207"/>
      <c r="CC227" s="207"/>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7"/>
      <c r="BZ228" s="207"/>
      <c r="CA228" s="207"/>
      <c r="CB228" s="207"/>
      <c r="CC228" s="207"/>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7"/>
      <c r="BZ229" s="207"/>
      <c r="CA229" s="207"/>
      <c r="CB229" s="207"/>
      <c r="CC229" s="207"/>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7"/>
      <c r="BZ230" s="207"/>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7"/>
      <c r="BZ231" s="207"/>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7"/>
      <c r="BZ232" s="207"/>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7"/>
      <c r="BZ233" s="207"/>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7"/>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7"/>
      <c r="BZ235" s="207"/>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7"/>
      <c r="BZ236" s="207"/>
      <c r="CA236" s="207"/>
      <c r="CB236" s="207"/>
      <c r="CC236" s="207"/>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7"/>
      <c r="BZ237" s="207"/>
      <c r="CA237" s="207"/>
      <c r="CB237" s="207"/>
      <c r="CC237" s="207"/>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7"/>
      <c r="BZ238" s="207"/>
      <c r="CA238" s="207"/>
      <c r="CB238" s="207"/>
      <c r="CC238" s="207"/>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7"/>
      <c r="BZ239" s="207"/>
      <c r="CA239" s="207"/>
      <c r="CB239" s="207"/>
      <c r="CC239" s="207"/>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7"/>
      <c r="BZ240" s="207"/>
      <c r="CA240" s="207"/>
      <c r="CB240" s="207"/>
      <c r="CC240" s="207"/>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7"/>
      <c r="BZ241" s="207"/>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7"/>
      <c r="BZ242" s="207"/>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7"/>
      <c r="BZ243" s="207"/>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7"/>
      <c r="BZ244" s="207"/>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7"/>
      <c r="BZ245" s="207"/>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7"/>
      <c r="BZ246" s="207"/>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7"/>
      <c r="BZ247" s="207"/>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7"/>
      <c r="BZ248" s="207"/>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7"/>
      <c r="BZ249" s="207"/>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7"/>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7"/>
      <c r="BZ251" s="207"/>
      <c r="CA251" s="207"/>
      <c r="CB251" s="207"/>
      <c r="CC251" s="207"/>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7"/>
      <c r="BZ252" s="207"/>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7"/>
      <c r="BZ253" s="207"/>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7"/>
      <c r="BZ254" s="207"/>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7"/>
      <c r="BZ255" s="207"/>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7"/>
      <c r="BZ256" s="207"/>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7"/>
      <c r="BZ257" s="207"/>
      <c r="CA257" s="207"/>
      <c r="CB257" s="207"/>
      <c r="CC257" s="207"/>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7"/>
      <c r="BZ258" s="207"/>
      <c r="CA258" s="207"/>
      <c r="CB258" s="207"/>
      <c r="CC258" s="207"/>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7"/>
      <c r="BZ259" s="207"/>
      <c r="CA259" s="207"/>
      <c r="CB259" s="207"/>
      <c r="CC259" s="207"/>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7"/>
      <c r="BZ260" s="207"/>
      <c r="CA260" s="207"/>
      <c r="CB260" s="207"/>
      <c r="CC260" s="207"/>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7"/>
      <c r="BZ261" s="207"/>
      <c r="CA261" s="207"/>
      <c r="CB261" s="207"/>
      <c r="CC261" s="207"/>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7"/>
      <c r="BZ262" s="207"/>
      <c r="CA262" s="207"/>
      <c r="CB262" s="207"/>
      <c r="CC262" s="207"/>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7"/>
      <c r="BZ263" s="207"/>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7"/>
      <c r="BZ264" s="207"/>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7"/>
      <c r="BZ265" s="207"/>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7"/>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7"/>
      <c r="BZ267" s="207"/>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7"/>
      <c r="BZ268" s="207"/>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7"/>
      <c r="BZ269" s="207"/>
      <c r="CA269" s="207"/>
      <c r="CB269" s="207"/>
      <c r="CC269" s="207"/>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7"/>
      <c r="BZ270" s="207"/>
      <c r="CA270" s="207"/>
      <c r="CB270" s="207"/>
      <c r="CC270" s="207"/>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7"/>
      <c r="BZ271" s="207"/>
      <c r="CA271" s="207"/>
      <c r="CB271" s="207"/>
      <c r="CC271" s="207"/>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7"/>
      <c r="BZ272" s="207"/>
      <c r="CA272" s="207"/>
      <c r="CB272" s="207"/>
      <c r="CC272" s="207"/>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7"/>
      <c r="BZ273" s="207"/>
      <c r="CA273" s="207"/>
      <c r="CB273" s="207"/>
      <c r="CC273" s="207"/>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7"/>
      <c r="BZ274" s="207"/>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7"/>
      <c r="BZ275" s="207"/>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7"/>
      <c r="BZ276" s="207"/>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7"/>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7"/>
      <c r="BZ278" s="207"/>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7"/>
      <c r="BZ279" s="207"/>
      <c r="CA279" s="207"/>
      <c r="CB279" s="207"/>
      <c r="CC279" s="207"/>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7"/>
      <c r="BZ280" s="207"/>
      <c r="CA280" s="207"/>
      <c r="CB280" s="207"/>
      <c r="CC280" s="207"/>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7"/>
      <c r="BZ281" s="207"/>
      <c r="CA281" s="207"/>
      <c r="CB281" s="207"/>
      <c r="CC281" s="207"/>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7"/>
      <c r="BZ282" s="207"/>
      <c r="CA282" s="207"/>
      <c r="CB282" s="207"/>
      <c r="CC282" s="207"/>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7"/>
      <c r="BZ283" s="207"/>
      <c r="CA283" s="207"/>
      <c r="CB283" s="207"/>
      <c r="CC283" s="207"/>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7"/>
      <c r="BZ284" s="207"/>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7"/>
      <c r="BZ285" s="207"/>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7"/>
      <c r="BZ286" s="207"/>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7"/>
      <c r="BZ287" s="207"/>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7"/>
      <c r="BZ288" s="207"/>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7"/>
      <c r="BZ289" s="207"/>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7"/>
      <c r="BZ290" s="207"/>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7"/>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7"/>
      <c r="BZ292" s="207"/>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7"/>
      <c r="BZ293" s="207"/>
      <c r="CA293" s="207"/>
      <c r="CB293" s="207"/>
      <c r="CC293" s="207"/>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7"/>
      <c r="BZ294" s="207"/>
      <c r="CA294" s="207"/>
      <c r="CB294" s="207"/>
      <c r="CC294" s="207"/>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7"/>
      <c r="BZ295" s="207"/>
      <c r="CA295" s="207"/>
      <c r="CB295" s="207"/>
      <c r="CC295" s="207"/>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7"/>
      <c r="BZ296" s="207"/>
      <c r="CA296" s="207"/>
      <c r="CB296" s="207"/>
      <c r="CC296" s="207"/>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7"/>
      <c r="BZ297" s="207"/>
      <c r="CA297" s="207"/>
      <c r="CB297" s="207"/>
      <c r="CC297" s="207"/>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7"/>
      <c r="BZ298" s="207"/>
      <c r="CA298" s="207"/>
      <c r="CB298" s="207"/>
      <c r="CC298" s="207"/>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7"/>
      <c r="BZ299" s="207"/>
      <c r="CA299" s="207"/>
      <c r="CB299" s="207"/>
      <c r="CC299" s="207"/>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7"/>
      <c r="BZ300" s="207"/>
      <c r="CA300" s="207"/>
      <c r="CB300" s="207"/>
      <c r="CC300" s="207"/>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7"/>
      <c r="BZ301" s="207"/>
      <c r="CA301" s="207"/>
      <c r="CB301" s="207"/>
      <c r="CC301" s="207"/>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7"/>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7"/>
      <c r="BZ303" s="207"/>
      <c r="CA303" s="207"/>
      <c r="CB303" s="207"/>
      <c r="CC303" s="207"/>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7"/>
      <c r="BZ304" s="207"/>
      <c r="CA304" s="207"/>
      <c r="CB304" s="207"/>
      <c r="CC304" s="207"/>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7"/>
      <c r="BZ305" s="207"/>
      <c r="CA305" s="207"/>
      <c r="CB305" s="207"/>
      <c r="CC305" s="207"/>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7"/>
      <c r="BZ306" s="207"/>
      <c r="CA306" s="207"/>
      <c r="CB306" s="207"/>
      <c r="CC306" s="207"/>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7"/>
      <c r="BZ307" s="207"/>
      <c r="CA307" s="207"/>
      <c r="CB307" s="207"/>
      <c r="CC307" s="207"/>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7"/>
      <c r="BZ308" s="207"/>
      <c r="CA308" s="207"/>
      <c r="CB308" s="207"/>
      <c r="CC308" s="207"/>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7"/>
      <c r="BZ309" s="207"/>
      <c r="CA309" s="207"/>
      <c r="CB309" s="207"/>
      <c r="CC309" s="207"/>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7"/>
      <c r="BZ310" s="207"/>
      <c r="CA310" s="207"/>
      <c r="CB310" s="207"/>
      <c r="CC310" s="207"/>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7"/>
      <c r="BZ311" s="207"/>
      <c r="CA311" s="207"/>
      <c r="CB311" s="207"/>
      <c r="CC311" s="207"/>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7"/>
      <c r="BZ312" s="207"/>
      <c r="CA312" s="207"/>
      <c r="CB312" s="207"/>
      <c r="CC312" s="207"/>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7"/>
      <c r="BZ313" s="207"/>
      <c r="CA313" s="207"/>
      <c r="CB313" s="207"/>
      <c r="CC313" s="207"/>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7"/>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7"/>
      <c r="BZ315" s="207"/>
      <c r="CA315" s="207"/>
      <c r="CB315" s="207"/>
      <c r="CC315" s="207"/>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7"/>
      <c r="BZ316" s="207"/>
      <c r="CA316" s="207"/>
      <c r="CB316" s="207"/>
      <c r="CC316" s="207"/>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7"/>
      <c r="BZ317" s="207"/>
      <c r="CA317" s="207"/>
      <c r="CB317" s="207"/>
      <c r="CC317" s="207"/>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7"/>
      <c r="BZ318" s="207"/>
      <c r="CA318" s="207"/>
      <c r="CB318" s="207"/>
      <c r="CC318" s="207"/>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7"/>
      <c r="BZ319" s="207"/>
      <c r="CA319" s="207"/>
      <c r="CB319" s="207"/>
      <c r="CC319" s="207"/>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7"/>
      <c r="BZ320" s="207"/>
      <c r="CA320" s="207"/>
      <c r="CB320" s="207"/>
      <c r="CC320" s="207"/>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7"/>
      <c r="BZ321" s="207"/>
      <c r="CA321" s="207"/>
      <c r="CB321" s="207"/>
      <c r="CC321" s="207"/>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7"/>
      <c r="BZ322" s="207"/>
      <c r="CA322" s="207"/>
      <c r="CB322" s="207"/>
      <c r="CC322" s="207"/>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7"/>
      <c r="BZ323" s="207"/>
      <c r="CA323" s="207"/>
      <c r="CB323" s="207"/>
      <c r="CC323" s="207"/>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7"/>
      <c r="BZ324" s="207"/>
      <c r="CA324" s="207"/>
      <c r="CB324" s="207"/>
      <c r="CC324" s="207"/>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7"/>
      <c r="BZ325" s="207"/>
      <c r="CA325" s="207"/>
      <c r="CB325" s="207"/>
      <c r="CC325" s="207"/>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7"/>
      <c r="BZ326" s="207"/>
      <c r="CA326" s="207"/>
      <c r="CB326" s="207"/>
      <c r="CC326" s="207"/>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7"/>
      <c r="BZ327" s="207"/>
      <c r="CA327" s="207"/>
      <c r="CB327" s="207"/>
      <c r="CC327" s="207"/>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7"/>
      <c r="BZ328" s="207"/>
      <c r="CA328" s="207"/>
      <c r="CB328" s="207"/>
      <c r="CC328" s="207"/>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7"/>
      <c r="BZ329" s="207"/>
      <c r="CA329" s="207"/>
      <c r="CB329" s="207"/>
      <c r="CC329" s="207"/>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7"/>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7"/>
      <c r="BZ331" s="207"/>
      <c r="CA331" s="207"/>
      <c r="CB331" s="207"/>
      <c r="CC331" s="207"/>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7"/>
      <c r="BZ332" s="207"/>
      <c r="CA332" s="207"/>
      <c r="CB332" s="207"/>
      <c r="CC332" s="207"/>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7"/>
      <c r="BZ333" s="207"/>
      <c r="CA333" s="207"/>
      <c r="CB333" s="207"/>
      <c r="CC333" s="207"/>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7"/>
      <c r="BZ334" s="207"/>
      <c r="CA334" s="207"/>
      <c r="CB334" s="207"/>
      <c r="CC334" s="207"/>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7"/>
      <c r="BZ335" s="207"/>
      <c r="CA335" s="207"/>
      <c r="CB335" s="207"/>
      <c r="CC335" s="207"/>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7"/>
      <c r="BZ336" s="207"/>
      <c r="CA336" s="207"/>
      <c r="CB336" s="207"/>
      <c r="CC336" s="207"/>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7"/>
      <c r="BZ337" s="207"/>
      <c r="CA337" s="207"/>
      <c r="CB337" s="207"/>
      <c r="CC337" s="207"/>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7"/>
      <c r="BZ338" s="207"/>
      <c r="CA338" s="207"/>
      <c r="CB338" s="207"/>
      <c r="CC338" s="207"/>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7"/>
      <c r="BZ339" s="207"/>
      <c r="CA339" s="207"/>
      <c r="CB339" s="207"/>
      <c r="CC339" s="207"/>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7"/>
      <c r="BZ340" s="207"/>
      <c r="CA340" s="207"/>
      <c r="CB340" s="207"/>
      <c r="CC340" s="207"/>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7"/>
      <c r="BZ341" s="207"/>
      <c r="CA341" s="207"/>
      <c r="CB341" s="207"/>
      <c r="CC341" s="207"/>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7"/>
      <c r="BZ342" s="207"/>
      <c r="CA342" s="207"/>
      <c r="CB342" s="207"/>
      <c r="CC342" s="207"/>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7"/>
      <c r="BZ343" s="207"/>
      <c r="CA343" s="207"/>
      <c r="CB343" s="207"/>
      <c r="CC343" s="207"/>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7"/>
      <c r="BZ344" s="207"/>
      <c r="CA344" s="207"/>
      <c r="CB344" s="207"/>
      <c r="CC344" s="207"/>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7"/>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7"/>
      <c r="BZ346" s="207"/>
      <c r="CA346" s="207"/>
      <c r="CB346" s="207"/>
      <c r="CC346" s="207"/>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7"/>
      <c r="BZ347" s="207"/>
      <c r="CA347" s="207"/>
      <c r="CB347" s="207"/>
      <c r="CC347" s="207"/>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7"/>
      <c r="BZ348" s="207"/>
      <c r="CA348" s="207"/>
      <c r="CB348" s="207"/>
      <c r="CC348" s="207"/>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7"/>
      <c r="BZ349" s="207"/>
      <c r="CA349" s="207"/>
      <c r="CB349" s="207"/>
      <c r="CC349" s="207"/>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7"/>
      <c r="BZ350" s="207"/>
      <c r="CA350" s="207"/>
      <c r="CB350" s="207"/>
      <c r="CC350" s="207"/>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7"/>
      <c r="BZ351" s="207"/>
      <c r="CA351" s="207"/>
      <c r="CB351" s="207"/>
      <c r="CC351" s="207"/>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7"/>
      <c r="BZ352" s="207"/>
      <c r="CA352" s="207"/>
      <c r="CB352" s="207"/>
      <c r="CC352" s="207"/>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7"/>
      <c r="BZ353" s="207"/>
      <c r="CA353" s="207"/>
      <c r="CB353" s="207"/>
      <c r="CC353" s="207"/>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7"/>
      <c r="BZ354" s="207"/>
      <c r="CA354" s="207"/>
      <c r="CB354" s="207"/>
      <c r="CC354" s="207"/>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7"/>
      <c r="BZ355" s="207"/>
      <c r="CA355" s="207"/>
      <c r="CB355" s="207"/>
      <c r="CC355" s="207"/>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7"/>
      <c r="BZ356" s="207"/>
      <c r="CA356" s="207"/>
      <c r="CB356" s="207"/>
      <c r="CC356" s="207"/>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7"/>
      <c r="BZ357" s="207"/>
      <c r="CA357" s="207"/>
      <c r="CB357" s="207"/>
      <c r="CC357" s="207"/>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7"/>
      <c r="BZ358" s="207"/>
      <c r="CA358" s="207"/>
      <c r="CB358" s="207"/>
      <c r="CC358" s="207"/>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7"/>
      <c r="BZ359" s="207"/>
      <c r="CA359" s="207"/>
      <c r="CB359" s="207"/>
      <c r="CC359" s="207"/>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7"/>
      <c r="BZ360" s="207"/>
      <c r="CA360" s="207"/>
      <c r="CB360" s="207"/>
      <c r="CC360" s="207"/>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7"/>
      <c r="BZ361" s="207"/>
      <c r="CA361" s="207"/>
      <c r="CB361" s="207"/>
      <c r="CC361" s="207"/>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7"/>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7"/>
      <c r="BZ363" s="207"/>
      <c r="CA363" s="207"/>
      <c r="CB363" s="207"/>
      <c r="CC363" s="207"/>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7"/>
      <c r="BZ364" s="207"/>
      <c r="CA364" s="207"/>
      <c r="CB364" s="207"/>
      <c r="CC364" s="207"/>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7"/>
      <c r="BZ365" s="207"/>
      <c r="CA365" s="207"/>
      <c r="CB365" s="207"/>
      <c r="CC365" s="207"/>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7"/>
      <c r="BZ366" s="207"/>
      <c r="CA366" s="207"/>
      <c r="CB366" s="207"/>
      <c r="CC366" s="207"/>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7"/>
      <c r="BZ367" s="207"/>
      <c r="CA367" s="207"/>
      <c r="CB367" s="207"/>
      <c r="CC367" s="207"/>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7"/>
      <c r="BZ368" s="207"/>
      <c r="CA368" s="207"/>
      <c r="CB368" s="207"/>
      <c r="CC368" s="207"/>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7"/>
      <c r="BZ369" s="207"/>
      <c r="CA369" s="207"/>
      <c r="CB369" s="207"/>
      <c r="CC369" s="207"/>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7"/>
      <c r="BZ370" s="207"/>
      <c r="CA370" s="207"/>
      <c r="CB370" s="207"/>
      <c r="CC370" s="207"/>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7"/>
      <c r="BZ371" s="207"/>
      <c r="CA371" s="207"/>
      <c r="CB371" s="207"/>
      <c r="CC371" s="207"/>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7"/>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7"/>
      <c r="BZ373" s="207"/>
      <c r="CA373" s="207"/>
      <c r="CB373" s="207"/>
      <c r="CC373" s="207"/>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7"/>
      <c r="BZ374" s="207"/>
      <c r="CA374" s="207"/>
      <c r="CB374" s="207"/>
      <c r="CC374" s="207"/>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7"/>
      <c r="BZ375" s="207"/>
      <c r="CA375" s="207"/>
      <c r="CB375" s="207"/>
      <c r="CC375" s="207"/>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7"/>
      <c r="BZ376" s="207"/>
      <c r="CA376" s="207"/>
      <c r="CB376" s="207"/>
      <c r="CC376" s="207"/>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7"/>
      <c r="BZ377" s="207"/>
      <c r="CA377" s="207"/>
      <c r="CB377" s="207"/>
      <c r="CC377" s="207"/>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7"/>
      <c r="BZ378" s="207"/>
      <c r="CA378" s="207"/>
      <c r="CB378" s="207"/>
      <c r="CC378" s="207"/>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7"/>
      <c r="BZ379" s="207"/>
      <c r="CA379" s="207"/>
      <c r="CB379" s="207"/>
      <c r="CC379" s="207"/>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7"/>
      <c r="BZ380" s="207"/>
      <c r="CA380" s="207"/>
      <c r="CB380" s="207"/>
      <c r="CC380" s="207"/>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7"/>
      <c r="BZ381" s="207"/>
      <c r="CA381" s="207"/>
      <c r="CB381" s="207"/>
      <c r="CC381" s="207"/>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7"/>
      <c r="BZ382" s="207"/>
      <c r="CA382" s="207"/>
      <c r="CB382" s="207"/>
      <c r="CC382" s="207"/>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7"/>
      <c r="BZ383" s="207"/>
      <c r="CA383" s="207"/>
      <c r="CB383" s="207"/>
      <c r="CC383" s="207"/>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7"/>
      <c r="BZ384" s="207"/>
      <c r="CA384" s="207"/>
      <c r="CB384" s="207"/>
      <c r="CC384" s="207"/>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7"/>
      <c r="BZ385" s="207"/>
      <c r="CA385" s="207"/>
      <c r="CB385" s="207"/>
      <c r="CC385" s="207"/>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7"/>
      <c r="BZ386" s="207"/>
      <c r="CA386" s="207"/>
      <c r="CB386" s="207"/>
      <c r="CC386" s="207"/>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7"/>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7"/>
      <c r="BZ388" s="207"/>
      <c r="CA388" s="207"/>
      <c r="CB388" s="207"/>
      <c r="CC388" s="207"/>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7"/>
      <c r="BZ389" s="207"/>
      <c r="CA389" s="207"/>
      <c r="CB389" s="207"/>
      <c r="CC389" s="207"/>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7"/>
      <c r="BZ390" s="207"/>
      <c r="CA390" s="207"/>
      <c r="CB390" s="207"/>
      <c r="CC390" s="207"/>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7"/>
      <c r="BZ391" s="207"/>
      <c r="CA391" s="207"/>
      <c r="CB391" s="207"/>
      <c r="CC391" s="207"/>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7"/>
      <c r="BZ392" s="207"/>
      <c r="CA392" s="207"/>
      <c r="CB392" s="207"/>
      <c r="CC392" s="207"/>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7"/>
      <c r="BZ393" s="207"/>
      <c r="CA393" s="207"/>
      <c r="CB393" s="207"/>
      <c r="CC393" s="207"/>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7"/>
      <c r="BZ394" s="207"/>
      <c r="CA394" s="207"/>
      <c r="CB394" s="207"/>
      <c r="CC394" s="207"/>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7"/>
      <c r="BZ395" s="207"/>
      <c r="CA395" s="207"/>
      <c r="CB395" s="207"/>
      <c r="CC395" s="207"/>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7"/>
      <c r="BZ396" s="207"/>
      <c r="CA396" s="207"/>
      <c r="CB396" s="207"/>
      <c r="CC396" s="207"/>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7"/>
      <c r="BZ397" s="207"/>
      <c r="CA397" s="207"/>
      <c r="CB397" s="207"/>
      <c r="CC397" s="207"/>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7"/>
      <c r="BZ398" s="207"/>
      <c r="CA398" s="207"/>
      <c r="CB398" s="207"/>
      <c r="CC398" s="207"/>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7"/>
      <c r="BZ399" s="207"/>
      <c r="CA399" s="207"/>
      <c r="CB399" s="207"/>
      <c r="CC399" s="207"/>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7"/>
      <c r="BZ400" s="207"/>
      <c r="CA400" s="207"/>
      <c r="CB400" s="207"/>
      <c r="CC400" s="207"/>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7"/>
      <c r="BZ401" s="207"/>
      <c r="CA401" s="207"/>
      <c r="CB401" s="207"/>
      <c r="CC401" s="207"/>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7"/>
      <c r="BZ402" s="207"/>
      <c r="CA402" s="207"/>
      <c r="CB402" s="207"/>
      <c r="CC402" s="207"/>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7"/>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7"/>
      <c r="BZ404" s="207"/>
      <c r="CA404" s="207"/>
      <c r="CB404" s="207"/>
      <c r="CC404" s="207"/>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7"/>
      <c r="BZ405" s="207"/>
      <c r="CA405" s="207"/>
      <c r="CB405" s="207"/>
      <c r="CC405" s="207"/>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7"/>
      <c r="BZ406" s="207"/>
      <c r="CA406" s="207"/>
      <c r="CB406" s="207"/>
      <c r="CC406" s="207"/>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R27:V27"/>
    <mergeCell ref="N28:Q28"/>
    <mergeCell ref="R28:V28"/>
    <mergeCell ref="Y25:Z25"/>
    <mergeCell ref="Y26:Z26"/>
    <mergeCell ref="AB26:AC26"/>
    <mergeCell ref="Y27:Z27"/>
    <mergeCell ref="AB27:AC27"/>
    <mergeCell ref="Y28:Z28"/>
    <mergeCell ref="N26:Q26"/>
    <mergeCell ref="AB28:AC28"/>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B70:F70"/>
    <mergeCell ref="B71:F71"/>
    <mergeCell ref="B72:F72"/>
    <mergeCell ref="B73:F73"/>
    <mergeCell ref="B64:F64"/>
    <mergeCell ref="B65:F65"/>
    <mergeCell ref="B66:F66"/>
    <mergeCell ref="B67:F67"/>
    <mergeCell ref="B68:F68"/>
    <mergeCell ref="B69:F69"/>
    <mergeCell ref="BW65:BX65"/>
    <mergeCell ref="BY65:BZ65"/>
    <mergeCell ref="K64:O64"/>
    <mergeCell ref="Q64:U64"/>
    <mergeCell ref="W64:AA64"/>
    <mergeCell ref="AC64:AG64"/>
    <mergeCell ref="AK64:AO64"/>
    <mergeCell ref="BS65:BT65"/>
    <mergeCell ref="BU65:BV65"/>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AA16:AB16"/>
    <mergeCell ref="AC16:AD16"/>
    <mergeCell ref="O15:X15"/>
    <mergeCell ref="Y15:Z15"/>
    <mergeCell ref="AA15:AB15"/>
    <mergeCell ref="AC15:AD15"/>
    <mergeCell ref="AE15:AF15"/>
    <mergeCell ref="Y16:Z16"/>
    <mergeCell ref="AE16:AF16"/>
    <mergeCell ref="O16:X16"/>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5:F5"/>
    <mergeCell ref="C6:F6"/>
    <mergeCell ref="C7:F7"/>
    <mergeCell ref="C8:F8"/>
    <mergeCell ref="C9:F9"/>
    <mergeCell ref="C10:F10"/>
    <mergeCell ref="C11:F11"/>
    <mergeCell ref="C12:F12"/>
    <mergeCell ref="C13:F13"/>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AG6:AH6"/>
    <mergeCell ref="AI6:AJ6"/>
    <mergeCell ref="AG7:AH7"/>
    <mergeCell ref="AI7:AJ7"/>
    <mergeCell ref="AK6:AL6"/>
    <mergeCell ref="AN6:AO6"/>
    <mergeCell ref="AK7:AL7"/>
    <mergeCell ref="AN7:AO7"/>
    <mergeCell ref="AG8:AH8"/>
    <mergeCell ref="AI8:AJ8"/>
    <mergeCell ref="AK8:AL8"/>
    <mergeCell ref="AN8:AO8"/>
    <mergeCell ref="AN3:AO3"/>
    <mergeCell ref="AG4:AH4"/>
    <mergeCell ref="AI4:AJ4"/>
    <mergeCell ref="AK4:AL4"/>
    <mergeCell ref="AN4:AO4"/>
    <mergeCell ref="AG5:AH5"/>
    <mergeCell ref="AI5:AJ5"/>
    <mergeCell ref="AK5:AL5"/>
    <mergeCell ref="AN5:AO5"/>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G14:AH14"/>
    <mergeCell ref="AI14:AJ14"/>
    <mergeCell ref="AK13:AL13"/>
    <mergeCell ref="AN13:AO13"/>
    <mergeCell ref="AK14:AL14"/>
    <mergeCell ref="AN14:AO14"/>
    <mergeCell ref="AG15:AH15"/>
    <mergeCell ref="AI15:AJ15"/>
    <mergeCell ref="AK15:AL15"/>
    <mergeCell ref="AN15:AO15"/>
    <mergeCell ref="AG11:AH11"/>
    <mergeCell ref="AI11:AJ11"/>
    <mergeCell ref="AK11:AL11"/>
    <mergeCell ref="AN11:AO11"/>
    <mergeCell ref="AG12:AH12"/>
    <mergeCell ref="AI12:AJ12"/>
    <mergeCell ref="AK12:AL12"/>
    <mergeCell ref="AN12:AO12"/>
    <mergeCell ref="AG13:AH13"/>
    <mergeCell ref="AI13:AJ13"/>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s>
  <conditionalFormatting sqref="B43:AF58 Y2:Y17 AA2:AA17 AC2:AC17 AE2:AE17 AI2:AI17 AK17">
    <cfRule type="cellIs" dxfId="198" priority="19" operator="equal">
      <formula>0</formula>
    </cfRule>
  </conditionalFormatting>
  <conditionalFormatting sqref="B2:Y19 Z18:Z19 AA2:AA19 AB18:AB19 AC2:AC19 AD18:AD19 AE2:AE19 AF18:AO19 G20 I20:AO20">
    <cfRule type="cellIs" dxfId="197" priority="21" operator="equal">
      <formula>0</formula>
    </cfRule>
  </conditionalFormatting>
  <conditionalFormatting sqref="G2:N19 G20 I20:N20">
    <cfRule type="cellIs" dxfId="196" priority="22" operator="equal">
      <formula>"0+"</formula>
    </cfRule>
  </conditionalFormatting>
  <conditionalFormatting sqref="W30">
    <cfRule type="cellIs" dxfId="195" priority="23" operator="equal">
      <formula>0</formula>
    </cfRule>
  </conditionalFormatting>
  <conditionalFormatting sqref="J3">
    <cfRule type="cellIs" dxfId="194" priority="24" operator="lessThan">
      <formula>W67</formula>
    </cfRule>
  </conditionalFormatting>
  <conditionalFormatting sqref="J3">
    <cfRule type="cellIs" dxfId="193" priority="25" operator="greaterThan">
      <formula>W67</formula>
    </cfRule>
  </conditionalFormatting>
  <conditionalFormatting sqref="J4">
    <cfRule type="cellIs" dxfId="192" priority="26" operator="lessThan">
      <formula>W68</formula>
    </cfRule>
  </conditionalFormatting>
  <conditionalFormatting sqref="J4">
    <cfRule type="cellIs" dxfId="191" priority="27" operator="greaterThan">
      <formula>W68</formula>
    </cfRule>
  </conditionalFormatting>
  <conditionalFormatting sqref="J5">
    <cfRule type="cellIs" dxfId="190" priority="28" operator="lessThan">
      <formula>W69</formula>
    </cfRule>
  </conditionalFormatting>
  <conditionalFormatting sqref="J5">
    <cfRule type="cellIs" dxfId="189" priority="29" operator="greaterThan">
      <formula>W69</formula>
    </cfRule>
  </conditionalFormatting>
  <conditionalFormatting sqref="J6">
    <cfRule type="cellIs" dxfId="188" priority="30" operator="lessThan">
      <formula>W70</formula>
    </cfRule>
  </conditionalFormatting>
  <conditionalFormatting sqref="J6">
    <cfRule type="cellIs" dxfId="187" priority="31" operator="greaterThan">
      <formula>W70</formula>
    </cfRule>
  </conditionalFormatting>
  <conditionalFormatting sqref="J7">
    <cfRule type="cellIs" dxfId="186" priority="32" operator="lessThan">
      <formula>W71</formula>
    </cfRule>
  </conditionalFormatting>
  <conditionalFormatting sqref="J7">
    <cfRule type="cellIs" dxfId="185" priority="33" operator="greaterThan">
      <formula>W71</formula>
    </cfRule>
  </conditionalFormatting>
  <conditionalFormatting sqref="J8">
    <cfRule type="cellIs" dxfId="184" priority="34" operator="lessThan">
      <formula>W72</formula>
    </cfRule>
  </conditionalFormatting>
  <conditionalFormatting sqref="J8">
    <cfRule type="cellIs" dxfId="183" priority="35" operator="greaterThan">
      <formula>W72</formula>
    </cfRule>
  </conditionalFormatting>
  <conditionalFormatting sqref="J9">
    <cfRule type="cellIs" dxfId="182" priority="36" operator="lessThan">
      <formula>W73</formula>
    </cfRule>
  </conditionalFormatting>
  <conditionalFormatting sqref="J9">
    <cfRule type="cellIs" dxfId="181" priority="37" operator="greaterThan">
      <formula>W73</formula>
    </cfRule>
  </conditionalFormatting>
  <conditionalFormatting sqref="J10">
    <cfRule type="cellIs" dxfId="180" priority="38" operator="lessThan">
      <formula>W74</formula>
    </cfRule>
  </conditionalFormatting>
  <conditionalFormatting sqref="J10">
    <cfRule type="cellIs" dxfId="179" priority="39" operator="greaterThan">
      <formula>W74</formula>
    </cfRule>
  </conditionalFormatting>
  <conditionalFormatting sqref="J11">
    <cfRule type="cellIs" dxfId="178" priority="40" operator="lessThan">
      <formula>W75</formula>
    </cfRule>
  </conditionalFormatting>
  <conditionalFormatting sqref="J11">
    <cfRule type="cellIs" dxfId="177" priority="41" operator="greaterThan">
      <formula>W75</formula>
    </cfRule>
  </conditionalFormatting>
  <conditionalFormatting sqref="J12">
    <cfRule type="cellIs" dxfId="176" priority="42" operator="lessThan">
      <formula>W76</formula>
    </cfRule>
  </conditionalFormatting>
  <conditionalFormatting sqref="J12">
    <cfRule type="cellIs" dxfId="175" priority="43" operator="greaterThan">
      <formula>W76</formula>
    </cfRule>
  </conditionalFormatting>
  <conditionalFormatting sqref="J13">
    <cfRule type="cellIs" dxfId="174" priority="44" operator="lessThan">
      <formula>W77</formula>
    </cfRule>
  </conditionalFormatting>
  <conditionalFormatting sqref="J13">
    <cfRule type="cellIs" dxfId="173" priority="45" operator="greaterThan">
      <formula>W77</formula>
    </cfRule>
  </conditionalFormatting>
  <conditionalFormatting sqref="J14">
    <cfRule type="cellIs" dxfId="172" priority="46" operator="lessThan">
      <formula>W78</formula>
    </cfRule>
  </conditionalFormatting>
  <conditionalFormatting sqref="J14">
    <cfRule type="cellIs" dxfId="171" priority="47" operator="greaterThan">
      <formula>W78</formula>
    </cfRule>
  </conditionalFormatting>
  <conditionalFormatting sqref="J16">
    <cfRule type="cellIs" dxfId="170" priority="48" operator="lessThan">
      <formula>W80</formula>
    </cfRule>
  </conditionalFormatting>
  <conditionalFormatting sqref="J16">
    <cfRule type="cellIs" dxfId="169" priority="49" operator="greaterThan">
      <formula>W80</formula>
    </cfRule>
  </conditionalFormatting>
  <conditionalFormatting sqref="J17">
    <cfRule type="cellIs" dxfId="168" priority="50" operator="lessThan">
      <formula>W81</formula>
    </cfRule>
  </conditionalFormatting>
  <conditionalFormatting sqref="J17">
    <cfRule type="cellIs" dxfId="167" priority="51" operator="greaterThan">
      <formula>W81</formula>
    </cfRule>
  </conditionalFormatting>
  <conditionalFormatting sqref="K3">
    <cfRule type="cellIs" dxfId="166" priority="52" operator="lessThan">
      <formula>X67</formula>
    </cfRule>
  </conditionalFormatting>
  <conditionalFormatting sqref="K3">
    <cfRule type="cellIs" dxfId="165" priority="53" operator="greaterThan">
      <formula>X67</formula>
    </cfRule>
  </conditionalFormatting>
  <conditionalFormatting sqref="N3">
    <cfRule type="expression" dxfId="164" priority="54">
      <formula>O67&lt;AA67</formula>
    </cfRule>
  </conditionalFormatting>
  <conditionalFormatting sqref="N3">
    <cfRule type="expression" dxfId="163" priority="55">
      <formula>O67&gt;AA67</formula>
    </cfRule>
  </conditionalFormatting>
  <conditionalFormatting sqref="K4">
    <cfRule type="cellIs" dxfId="162" priority="56" operator="lessThan">
      <formula>X68</formula>
    </cfRule>
  </conditionalFormatting>
  <conditionalFormatting sqref="K4">
    <cfRule type="cellIs" dxfId="161" priority="57" operator="greaterThan">
      <formula>X68</formula>
    </cfRule>
  </conditionalFormatting>
  <conditionalFormatting sqref="N4">
    <cfRule type="expression" dxfId="160" priority="58">
      <formula>O68&lt;AA68</formula>
    </cfRule>
  </conditionalFormatting>
  <conditionalFormatting sqref="N4">
    <cfRule type="expression" dxfId="159" priority="59">
      <formula>O68&gt;AA68</formula>
    </cfRule>
  </conditionalFormatting>
  <conditionalFormatting sqref="K5">
    <cfRule type="cellIs" dxfId="158" priority="60" operator="lessThan">
      <formula>X69</formula>
    </cfRule>
  </conditionalFormatting>
  <conditionalFormatting sqref="K5">
    <cfRule type="cellIs" dxfId="157" priority="61" operator="greaterThan">
      <formula>X69</formula>
    </cfRule>
  </conditionalFormatting>
  <conditionalFormatting sqref="N5">
    <cfRule type="expression" dxfId="156" priority="62">
      <formula>O69&lt;AA69</formula>
    </cfRule>
  </conditionalFormatting>
  <conditionalFormatting sqref="N5">
    <cfRule type="expression" dxfId="155" priority="63">
      <formula>O69&gt;AA69</formula>
    </cfRule>
  </conditionalFormatting>
  <conditionalFormatting sqref="K6">
    <cfRule type="cellIs" dxfId="154" priority="64" operator="lessThan">
      <formula>X70</formula>
    </cfRule>
  </conditionalFormatting>
  <conditionalFormatting sqref="K6">
    <cfRule type="cellIs" dxfId="153" priority="65" operator="greaterThan">
      <formula>X70</formula>
    </cfRule>
  </conditionalFormatting>
  <conditionalFormatting sqref="N6">
    <cfRule type="expression" dxfId="152" priority="66">
      <formula>O70&lt;AA70</formula>
    </cfRule>
  </conditionalFormatting>
  <conditionalFormatting sqref="N6">
    <cfRule type="expression" dxfId="151" priority="67">
      <formula>O70&gt;AA70</formula>
    </cfRule>
  </conditionalFormatting>
  <conditionalFormatting sqref="K7">
    <cfRule type="cellIs" dxfId="150" priority="68" operator="lessThan">
      <formula>X71</formula>
    </cfRule>
  </conditionalFormatting>
  <conditionalFormatting sqref="K7">
    <cfRule type="cellIs" dxfId="149" priority="69" operator="greaterThan">
      <formula>X71</formula>
    </cfRule>
  </conditionalFormatting>
  <conditionalFormatting sqref="N7">
    <cfRule type="expression" dxfId="148" priority="70">
      <formula>O71&lt;AA71</formula>
    </cfRule>
  </conditionalFormatting>
  <conditionalFormatting sqref="N7">
    <cfRule type="expression" dxfId="147" priority="71">
      <formula>O71&gt;AA71</formula>
    </cfRule>
  </conditionalFormatting>
  <conditionalFormatting sqref="K8">
    <cfRule type="cellIs" dxfId="146" priority="72" operator="lessThan">
      <formula>X72</formula>
    </cfRule>
  </conditionalFormatting>
  <conditionalFormatting sqref="K8">
    <cfRule type="cellIs" dxfId="145" priority="73" operator="greaterThan">
      <formula>X72</formula>
    </cfRule>
  </conditionalFormatting>
  <conditionalFormatting sqref="N8">
    <cfRule type="expression" dxfId="144" priority="74">
      <formula>O72&lt;AA72</formula>
    </cfRule>
  </conditionalFormatting>
  <conditionalFormatting sqref="N8">
    <cfRule type="expression" dxfId="143" priority="75">
      <formula>O72&gt;AA72</formula>
    </cfRule>
  </conditionalFormatting>
  <conditionalFormatting sqref="K9">
    <cfRule type="cellIs" dxfId="142" priority="76" operator="lessThan">
      <formula>X73</formula>
    </cfRule>
  </conditionalFormatting>
  <conditionalFormatting sqref="K9">
    <cfRule type="cellIs" dxfId="141" priority="77" operator="greaterThan">
      <formula>X73</formula>
    </cfRule>
  </conditionalFormatting>
  <conditionalFormatting sqref="N9">
    <cfRule type="expression" dxfId="140" priority="78">
      <formula>O73&lt;AA73</formula>
    </cfRule>
  </conditionalFormatting>
  <conditionalFormatting sqref="N9">
    <cfRule type="expression" dxfId="139" priority="79">
      <formula>O73&gt;AA73</formula>
    </cfRule>
  </conditionalFormatting>
  <conditionalFormatting sqref="K10">
    <cfRule type="cellIs" dxfId="138" priority="80" operator="lessThan">
      <formula>X74</formula>
    </cfRule>
  </conditionalFormatting>
  <conditionalFormatting sqref="K10">
    <cfRule type="cellIs" dxfId="137" priority="81" operator="greaterThan">
      <formula>X74</formula>
    </cfRule>
  </conditionalFormatting>
  <conditionalFormatting sqref="N10">
    <cfRule type="expression" dxfId="136" priority="82">
      <formula>O74&lt;AA74</formula>
    </cfRule>
  </conditionalFormatting>
  <conditionalFormatting sqref="N10">
    <cfRule type="expression" dxfId="135" priority="83">
      <formula>O74&gt;AA74</formula>
    </cfRule>
  </conditionalFormatting>
  <conditionalFormatting sqref="K11">
    <cfRule type="cellIs" dxfId="134" priority="84" operator="lessThan">
      <formula>X75</formula>
    </cfRule>
  </conditionalFormatting>
  <conditionalFormatting sqref="K11">
    <cfRule type="cellIs" dxfId="133" priority="85" operator="greaterThan">
      <formula>X75</formula>
    </cfRule>
  </conditionalFormatting>
  <conditionalFormatting sqref="N11">
    <cfRule type="expression" dxfId="132" priority="86">
      <formula>O75&lt;AA75</formula>
    </cfRule>
  </conditionalFormatting>
  <conditionalFormatting sqref="N11">
    <cfRule type="expression" dxfId="131" priority="87">
      <formula>O75&gt;AA75</formula>
    </cfRule>
  </conditionalFormatting>
  <conditionalFormatting sqref="K12">
    <cfRule type="cellIs" dxfId="130" priority="88" operator="lessThan">
      <formula>X76</formula>
    </cfRule>
  </conditionalFormatting>
  <conditionalFormatting sqref="K12">
    <cfRule type="cellIs" dxfId="129" priority="89" operator="greaterThan">
      <formula>X76</formula>
    </cfRule>
  </conditionalFormatting>
  <conditionalFormatting sqref="N12">
    <cfRule type="expression" dxfId="128" priority="90">
      <formula>O76&lt;AA76</formula>
    </cfRule>
  </conditionalFormatting>
  <conditionalFormatting sqref="N12">
    <cfRule type="expression" dxfId="127" priority="91">
      <formula>O76&gt;AA76</formula>
    </cfRule>
  </conditionalFormatting>
  <conditionalFormatting sqref="K13">
    <cfRule type="cellIs" dxfId="126" priority="92" operator="lessThan">
      <formula>X77</formula>
    </cfRule>
  </conditionalFormatting>
  <conditionalFormatting sqref="K13">
    <cfRule type="cellIs" dxfId="125" priority="93" operator="greaterThan">
      <formula>X77</formula>
    </cfRule>
  </conditionalFormatting>
  <conditionalFormatting sqref="N13">
    <cfRule type="expression" dxfId="124" priority="94">
      <formula>O77&lt;AA77</formula>
    </cfRule>
  </conditionalFormatting>
  <conditionalFormatting sqref="N13">
    <cfRule type="expression" dxfId="123" priority="95">
      <formula>O77&gt;AA77</formula>
    </cfRule>
  </conditionalFormatting>
  <conditionalFormatting sqref="K14">
    <cfRule type="cellIs" dxfId="122" priority="96" operator="lessThan">
      <formula>X78</formula>
    </cfRule>
  </conditionalFormatting>
  <conditionalFormatting sqref="K14">
    <cfRule type="cellIs" dxfId="121" priority="97" operator="greaterThan">
      <formula>X78</formula>
    </cfRule>
  </conditionalFormatting>
  <conditionalFormatting sqref="N14">
    <cfRule type="expression" dxfId="120" priority="98">
      <formula>O78&lt;AA78</formula>
    </cfRule>
  </conditionalFormatting>
  <conditionalFormatting sqref="N14">
    <cfRule type="expression" dxfId="119" priority="99">
      <formula>O78&gt;AA78</formula>
    </cfRule>
  </conditionalFormatting>
  <conditionalFormatting sqref="K16">
    <cfRule type="cellIs" dxfId="118" priority="100" operator="lessThan">
      <formula>X80</formula>
    </cfRule>
  </conditionalFormatting>
  <conditionalFormatting sqref="K16">
    <cfRule type="cellIs" dxfId="117" priority="101" operator="greaterThan">
      <formula>X80</formula>
    </cfRule>
  </conditionalFormatting>
  <conditionalFormatting sqref="N16">
    <cfRule type="expression" dxfId="116" priority="102">
      <formula>O80&lt;AA80</formula>
    </cfRule>
  </conditionalFormatting>
  <conditionalFormatting sqref="N16">
    <cfRule type="expression" dxfId="115" priority="103">
      <formula>O80&gt;AA80</formula>
    </cfRule>
  </conditionalFormatting>
  <conditionalFormatting sqref="K17">
    <cfRule type="cellIs" dxfId="114" priority="104" operator="lessThan">
      <formula>X81</formula>
    </cfRule>
  </conditionalFormatting>
  <conditionalFormatting sqref="K17">
    <cfRule type="cellIs" dxfId="113" priority="105" operator="greaterThan">
      <formula>X81</formula>
    </cfRule>
  </conditionalFormatting>
  <conditionalFormatting sqref="N17">
    <cfRule type="expression" dxfId="112" priority="106">
      <formula>O81&lt;AA81</formula>
    </cfRule>
  </conditionalFormatting>
  <conditionalFormatting sqref="N17">
    <cfRule type="expression" dxfId="111" priority="107">
      <formula>O81&gt;AA81</formula>
    </cfRule>
  </conditionalFormatting>
  <conditionalFormatting sqref="X28:AA28">
    <cfRule type="expression" dxfId="110" priority="108">
      <formula>$Y$28=0</formula>
    </cfRule>
  </conditionalFormatting>
  <conditionalFormatting sqref="AB28:AC28">
    <cfRule type="expression" dxfId="109" priority="109">
      <formula>$Y$28=0</formula>
    </cfRule>
  </conditionalFormatting>
  <conditionalFormatting sqref="W28">
    <cfRule type="expression" dxfId="108" priority="110">
      <formula>$Y$28=0</formula>
    </cfRule>
  </conditionalFormatting>
  <conditionalFormatting sqref="AJ28:AL28">
    <cfRule type="expression" dxfId="107" priority="111">
      <formula>$AK$28=0</formula>
    </cfRule>
  </conditionalFormatting>
  <conditionalFormatting sqref="AN28:AO28">
    <cfRule type="expression" dxfId="106" priority="112">
      <formula>$AK$28=0</formula>
    </cfRule>
  </conditionalFormatting>
  <conditionalFormatting sqref="AI28">
    <cfRule type="expression" dxfId="105" priority="113">
      <formula>$AK$28=0</formula>
    </cfRule>
  </conditionalFormatting>
  <conditionalFormatting sqref="O2:O17">
    <cfRule type="cellIs" dxfId="104" priority="114" operator="equal">
      <formula>0&amp;BF2</formula>
    </cfRule>
  </conditionalFormatting>
  <conditionalFormatting sqref="O2:O17">
    <cfRule type="expression" dxfId="103" priority="115">
      <formula>AW2&lt;&gt;""</formula>
    </cfRule>
  </conditionalFormatting>
  <conditionalFormatting sqref="L10">
    <cfRule type="expression" dxfId="102" priority="116">
      <formula>M74&gt;Y74</formula>
    </cfRule>
  </conditionalFormatting>
  <conditionalFormatting sqref="L10">
    <cfRule type="expression" dxfId="101" priority="117">
      <formula>M74&lt;Y74</formula>
    </cfRule>
  </conditionalFormatting>
  <conditionalFormatting sqref="J2">
    <cfRule type="cellIs" dxfId="100" priority="118" operator="lessThan">
      <formula>W66</formula>
    </cfRule>
  </conditionalFormatting>
  <conditionalFormatting sqref="J2">
    <cfRule type="cellIs" dxfId="99" priority="119" operator="greaterThan">
      <formula>W66</formula>
    </cfRule>
  </conditionalFormatting>
  <conditionalFormatting sqref="K2">
    <cfRule type="cellIs" dxfId="98" priority="120" operator="lessThan">
      <formula>X66</formula>
    </cfRule>
  </conditionalFormatting>
  <conditionalFormatting sqref="K2">
    <cfRule type="cellIs" dxfId="97" priority="121" operator="greaterThan">
      <formula>X66</formula>
    </cfRule>
  </conditionalFormatting>
  <conditionalFormatting sqref="N2">
    <cfRule type="expression" dxfId="96" priority="122">
      <formula>O66&lt;AA66</formula>
    </cfRule>
  </conditionalFormatting>
  <conditionalFormatting sqref="N2">
    <cfRule type="expression" dxfId="95" priority="123">
      <formula>O66&gt;AA66</formula>
    </cfRule>
  </conditionalFormatting>
  <conditionalFormatting sqref="O18 AA18">
    <cfRule type="expression" dxfId="94" priority="124">
      <formula>$AS$18&lt;&gt;""</formula>
    </cfRule>
  </conditionalFormatting>
  <conditionalFormatting sqref="O19:O20 AA19:AA20">
    <cfRule type="expression" dxfId="93" priority="125">
      <formula>$AS$19&lt;&gt;""</formula>
    </cfRule>
  </conditionalFormatting>
  <conditionalFormatting sqref="J15">
    <cfRule type="cellIs" dxfId="92" priority="126" operator="lessThan">
      <formula>W79</formula>
    </cfRule>
  </conditionalFormatting>
  <conditionalFormatting sqref="J15">
    <cfRule type="cellIs" dxfId="91" priority="127" operator="greaterThan">
      <formula>W79</formula>
    </cfRule>
  </conditionalFormatting>
  <conditionalFormatting sqref="K15">
    <cfRule type="cellIs" dxfId="90" priority="128" operator="lessThan">
      <formula>X79</formula>
    </cfRule>
  </conditionalFormatting>
  <conditionalFormatting sqref="K15">
    <cfRule type="cellIs" dxfId="89" priority="129" operator="greaterThan">
      <formula>X79</formula>
    </cfRule>
  </conditionalFormatting>
  <conditionalFormatting sqref="N15">
    <cfRule type="expression" dxfId="88" priority="130">
      <formula>O79&lt;AA79</formula>
    </cfRule>
  </conditionalFormatting>
  <conditionalFormatting sqref="N15">
    <cfRule type="expression" dxfId="87" priority="131">
      <formula>O79&gt;AA79</formula>
    </cfRule>
  </conditionalFormatting>
  <conditionalFormatting sqref="AN18:AO20">
    <cfRule type="cellIs" dxfId="86" priority="132" operator="equal">
      <formula>0</formula>
    </cfRule>
  </conditionalFormatting>
  <conditionalFormatting sqref="M2">
    <cfRule type="expression" dxfId="85" priority="133">
      <formula>N66&gt;Z66</formula>
    </cfRule>
  </conditionalFormatting>
  <conditionalFormatting sqref="M2">
    <cfRule type="expression" dxfId="84" priority="134">
      <formula>N66&lt;Z66</formula>
    </cfRule>
  </conditionalFormatting>
  <conditionalFormatting sqref="AJ23:AM23">
    <cfRule type="expression" dxfId="83" priority="135">
      <formula>$AK$23=0</formula>
    </cfRule>
  </conditionalFormatting>
  <conditionalFormatting sqref="AJ24:AM24">
    <cfRule type="expression" dxfId="82" priority="136">
      <formula>$AK$24=0</formula>
    </cfRule>
  </conditionalFormatting>
  <conditionalFormatting sqref="AJ25:AM25">
    <cfRule type="expression" dxfId="81" priority="137">
      <formula>$AK$25=0</formula>
    </cfRule>
  </conditionalFormatting>
  <conditionalFormatting sqref="AJ26:AM26">
    <cfRule type="expression" dxfId="80" priority="138">
      <formula>$AK$26=0</formula>
    </cfRule>
  </conditionalFormatting>
  <conditionalFormatting sqref="AJ27:AM27">
    <cfRule type="expression" dxfId="79" priority="139">
      <formula>$AK$27=0</formula>
    </cfRule>
  </conditionalFormatting>
  <conditionalFormatting sqref="L2">
    <cfRule type="expression" dxfId="78" priority="140">
      <formula>M66&gt;Y66</formula>
    </cfRule>
  </conditionalFormatting>
  <conditionalFormatting sqref="L2">
    <cfRule type="expression" dxfId="77" priority="141">
      <formula>M66&lt;Y66</formula>
    </cfRule>
  </conditionalFormatting>
  <conditionalFormatting sqref="L3">
    <cfRule type="expression" dxfId="76" priority="142">
      <formula>M67&gt;Y67</formula>
    </cfRule>
  </conditionalFormatting>
  <conditionalFormatting sqref="L3">
    <cfRule type="expression" dxfId="75" priority="143">
      <formula>M67&lt;Y67</formula>
    </cfRule>
  </conditionalFormatting>
  <conditionalFormatting sqref="L4">
    <cfRule type="expression" dxfId="74" priority="144">
      <formula>M68&gt;Y68</formula>
    </cfRule>
  </conditionalFormatting>
  <conditionalFormatting sqref="L4">
    <cfRule type="expression" dxfId="73" priority="145">
      <formula>M68&lt;Y68</formula>
    </cfRule>
  </conditionalFormatting>
  <conditionalFormatting sqref="L5">
    <cfRule type="expression" dxfId="72" priority="146">
      <formula>M69&gt;Y69</formula>
    </cfRule>
  </conditionalFormatting>
  <conditionalFormatting sqref="L5">
    <cfRule type="expression" dxfId="71" priority="147">
      <formula>M69&lt;Y69</formula>
    </cfRule>
  </conditionalFormatting>
  <conditionalFormatting sqref="L6">
    <cfRule type="expression" dxfId="70" priority="148">
      <formula>M70&gt;Y70</formula>
    </cfRule>
  </conditionalFormatting>
  <conditionalFormatting sqref="L6">
    <cfRule type="expression" dxfId="69" priority="149">
      <formula>M70&lt;Y70</formula>
    </cfRule>
  </conditionalFormatting>
  <conditionalFormatting sqref="L7">
    <cfRule type="expression" dxfId="68" priority="150">
      <formula>M71&gt;Y71</formula>
    </cfRule>
  </conditionalFormatting>
  <conditionalFormatting sqref="L7">
    <cfRule type="expression" dxfId="67" priority="151">
      <formula>M71&lt;Y71</formula>
    </cfRule>
  </conditionalFormatting>
  <conditionalFormatting sqref="L8">
    <cfRule type="expression" dxfId="66" priority="152">
      <formula>M72&gt;Y72</formula>
    </cfRule>
  </conditionalFormatting>
  <conditionalFormatting sqref="L8">
    <cfRule type="expression" dxfId="65" priority="153">
      <formula>M72&lt;Y72</formula>
    </cfRule>
  </conditionalFormatting>
  <conditionalFormatting sqref="L9">
    <cfRule type="expression" dxfId="64" priority="154">
      <formula>M73&gt;Y73</formula>
    </cfRule>
  </conditionalFormatting>
  <conditionalFormatting sqref="L9">
    <cfRule type="expression" dxfId="63" priority="155">
      <formula>M73&lt;Y73</formula>
    </cfRule>
  </conditionalFormatting>
  <conditionalFormatting sqref="L11">
    <cfRule type="expression" dxfId="62" priority="156">
      <formula>M75&gt;Y75</formula>
    </cfRule>
  </conditionalFormatting>
  <conditionalFormatting sqref="L11">
    <cfRule type="expression" dxfId="61" priority="157">
      <formula>M75&lt;Y75</formula>
    </cfRule>
  </conditionalFormatting>
  <conditionalFormatting sqref="L12">
    <cfRule type="expression" dxfId="60" priority="158">
      <formula>M76&gt;Y76</formula>
    </cfRule>
  </conditionalFormatting>
  <conditionalFormatting sqref="L12">
    <cfRule type="expression" dxfId="59" priority="159">
      <formula>M76&lt;Y76</formula>
    </cfRule>
  </conditionalFormatting>
  <conditionalFormatting sqref="L13">
    <cfRule type="expression" dxfId="58" priority="160">
      <formula>M77&gt;Y77</formula>
    </cfRule>
  </conditionalFormatting>
  <conditionalFormatting sqref="L13">
    <cfRule type="expression" dxfId="57" priority="161">
      <formula>M77&lt;Y77</formula>
    </cfRule>
  </conditionalFormatting>
  <conditionalFormatting sqref="L14">
    <cfRule type="expression" dxfId="56" priority="162">
      <formula>M78&gt;Y78</formula>
    </cfRule>
  </conditionalFormatting>
  <conditionalFormatting sqref="L14">
    <cfRule type="expression" dxfId="55" priority="163">
      <formula>M78&lt;Y78</formula>
    </cfRule>
  </conditionalFormatting>
  <conditionalFormatting sqref="L15">
    <cfRule type="expression" dxfId="54" priority="164">
      <formula>M79&gt;Y79</formula>
    </cfRule>
  </conditionalFormatting>
  <conditionalFormatting sqref="L15">
    <cfRule type="expression" dxfId="53" priority="165">
      <formula>M79&lt;Y79</formula>
    </cfRule>
  </conditionalFormatting>
  <conditionalFormatting sqref="L16">
    <cfRule type="expression" dxfId="52" priority="166">
      <formula>M80&gt;Y80</formula>
    </cfRule>
  </conditionalFormatting>
  <conditionalFormatting sqref="L16">
    <cfRule type="expression" dxfId="51" priority="167">
      <formula>M80&lt;Y80</formula>
    </cfRule>
  </conditionalFormatting>
  <conditionalFormatting sqref="L17">
    <cfRule type="expression" dxfId="50" priority="168">
      <formula>M81&gt;Y81</formula>
    </cfRule>
  </conditionalFormatting>
  <conditionalFormatting sqref="L17">
    <cfRule type="expression" dxfId="49" priority="169">
      <formula>M81&lt;Y81</formula>
    </cfRule>
  </conditionalFormatting>
  <conditionalFormatting sqref="M3">
    <cfRule type="expression" dxfId="48" priority="170">
      <formula>N67&gt;Z67</formula>
    </cfRule>
  </conditionalFormatting>
  <conditionalFormatting sqref="M3">
    <cfRule type="expression" dxfId="47" priority="171">
      <formula>N67&lt;Z67</formula>
    </cfRule>
  </conditionalFormatting>
  <conditionalFormatting sqref="M4">
    <cfRule type="expression" dxfId="46" priority="172">
      <formula>N68&gt;Z68</formula>
    </cfRule>
  </conditionalFormatting>
  <conditionalFormatting sqref="M4">
    <cfRule type="expression" dxfId="45" priority="173">
      <formula>N68&lt;Z68</formula>
    </cfRule>
  </conditionalFormatting>
  <conditionalFormatting sqref="M5">
    <cfRule type="expression" dxfId="44" priority="174">
      <formula>N69&gt;Z69</formula>
    </cfRule>
  </conditionalFormatting>
  <conditionalFormatting sqref="M5">
    <cfRule type="expression" dxfId="43" priority="175">
      <formula>N69&lt;Z69</formula>
    </cfRule>
  </conditionalFormatting>
  <conditionalFormatting sqref="M6">
    <cfRule type="expression" dxfId="42" priority="176">
      <formula>N70&gt;Z70</formula>
    </cfRule>
  </conditionalFormatting>
  <conditionalFormatting sqref="M6">
    <cfRule type="expression" dxfId="41" priority="177">
      <formula>N70&lt;Z70</formula>
    </cfRule>
  </conditionalFormatting>
  <conditionalFormatting sqref="M7">
    <cfRule type="expression" dxfId="40" priority="178">
      <formula>N71&gt;Z71</formula>
    </cfRule>
  </conditionalFormatting>
  <conditionalFormatting sqref="M7">
    <cfRule type="expression" dxfId="39" priority="179">
      <formula>N71&lt;Z71</formula>
    </cfRule>
  </conditionalFormatting>
  <conditionalFormatting sqref="M8">
    <cfRule type="expression" dxfId="38" priority="180">
      <formula>N72&gt;Z72</formula>
    </cfRule>
  </conditionalFormatting>
  <conditionalFormatting sqref="M8">
    <cfRule type="expression" dxfId="37" priority="181">
      <formula>N72&lt;Z72</formula>
    </cfRule>
  </conditionalFormatting>
  <conditionalFormatting sqref="M9">
    <cfRule type="expression" dxfId="36" priority="182">
      <formula>N73&gt;Z73</formula>
    </cfRule>
  </conditionalFormatting>
  <conditionalFormatting sqref="M9">
    <cfRule type="expression" dxfId="35" priority="183">
      <formula>N73&lt;Z73</formula>
    </cfRule>
  </conditionalFormatting>
  <conditionalFormatting sqref="M10">
    <cfRule type="expression" dxfId="34" priority="184">
      <formula>N74&gt;Z74</formula>
    </cfRule>
  </conditionalFormatting>
  <conditionalFormatting sqref="M10">
    <cfRule type="expression" dxfId="33" priority="185">
      <formula>N74&lt;Z74</formula>
    </cfRule>
  </conditionalFormatting>
  <conditionalFormatting sqref="M11">
    <cfRule type="expression" dxfId="32" priority="186">
      <formula>N75&gt;Z75</formula>
    </cfRule>
  </conditionalFormatting>
  <conditionalFormatting sqref="M11">
    <cfRule type="expression" dxfId="31" priority="187">
      <formula>N75&lt;Z75</formula>
    </cfRule>
  </conditionalFormatting>
  <conditionalFormatting sqref="M12">
    <cfRule type="expression" dxfId="30" priority="188">
      <formula>N76&gt;Z76</formula>
    </cfRule>
  </conditionalFormatting>
  <conditionalFormatting sqref="M12">
    <cfRule type="expression" dxfId="29" priority="189">
      <formula>N76&lt;Z76</formula>
    </cfRule>
  </conditionalFormatting>
  <conditionalFormatting sqref="M13">
    <cfRule type="expression" dxfId="28" priority="190">
      <formula>N77&gt;Z77</formula>
    </cfRule>
  </conditionalFormatting>
  <conditionalFormatting sqref="M13">
    <cfRule type="expression" dxfId="27" priority="191">
      <formula>N77&lt;Z77</formula>
    </cfRule>
  </conditionalFormatting>
  <conditionalFormatting sqref="M14">
    <cfRule type="expression" dxfId="26" priority="192">
      <formula>N78&gt;Z78</formula>
    </cfRule>
  </conditionalFormatting>
  <conditionalFormatting sqref="M14">
    <cfRule type="expression" dxfId="25" priority="193">
      <formula>N78&lt;Z78</formula>
    </cfRule>
  </conditionalFormatting>
  <conditionalFormatting sqref="M15">
    <cfRule type="expression" dxfId="24" priority="194">
      <formula>N79&gt;Z79</formula>
    </cfRule>
  </conditionalFormatting>
  <conditionalFormatting sqref="M15">
    <cfRule type="expression" dxfId="23" priority="195">
      <formula>N79&lt;Z79</formula>
    </cfRule>
  </conditionalFormatting>
  <conditionalFormatting sqref="M16">
    <cfRule type="expression" dxfId="22" priority="196">
      <formula>N80&gt;Z80</formula>
    </cfRule>
  </conditionalFormatting>
  <conditionalFormatting sqref="M16">
    <cfRule type="expression" dxfId="21" priority="197">
      <formula>N80&lt;Z80</formula>
    </cfRule>
  </conditionalFormatting>
  <conditionalFormatting sqref="M17">
    <cfRule type="expression" dxfId="20" priority="198">
      <formula>N81&gt;Z81</formula>
    </cfRule>
  </conditionalFormatting>
  <conditionalFormatting sqref="M17">
    <cfRule type="expression" dxfId="19" priority="199">
      <formula>N81&lt;Z81</formula>
    </cfRule>
  </conditionalFormatting>
  <conditionalFormatting sqref="AN23:AO23">
    <cfRule type="expression" dxfId="18" priority="200">
      <formula>$AK$23=0</formula>
    </cfRule>
  </conditionalFormatting>
  <conditionalFormatting sqref="AN24:AO24">
    <cfRule type="expression" dxfId="17" priority="201">
      <formula>$AK$24=0</formula>
    </cfRule>
  </conditionalFormatting>
  <conditionalFormatting sqref="AN25:AO25">
    <cfRule type="expression" dxfId="16" priority="202">
      <formula>$AK$25=0</formula>
    </cfRule>
  </conditionalFormatting>
  <conditionalFormatting sqref="AN26:AO26">
    <cfRule type="expression" dxfId="15" priority="203">
      <formula>$AK$26=0</formula>
    </cfRule>
  </conditionalFormatting>
  <conditionalFormatting sqref="AN27:AO27">
    <cfRule type="expression" dxfId="14" priority="204">
      <formula>$AK$27=0</formula>
    </cfRule>
  </conditionalFormatting>
  <conditionalFormatting sqref="AJ21:AL21">
    <cfRule type="expression" dxfId="13" priority="205">
      <formula>$AK$21=0</formula>
    </cfRule>
  </conditionalFormatting>
  <conditionalFormatting sqref="AN21:AO21">
    <cfRule type="expression" dxfId="12" priority="206">
      <formula>$AK$21=0</formula>
    </cfRule>
  </conditionalFormatting>
  <conditionalFormatting sqref="AG43:AH59">
    <cfRule type="cellIs" dxfId="11" priority="18" operator="equal">
      <formula>0</formula>
    </cfRule>
  </conditionalFormatting>
  <conditionalFormatting sqref="I18">
    <cfRule type="cellIs" dxfId="10" priority="17" operator="equal">
      <formula>2</formula>
    </cfRule>
  </conditionalFormatting>
  <conditionalFormatting sqref="I19:I20">
    <cfRule type="cellIs" dxfId="9" priority="16" operator="equal">
      <formula>2</formula>
    </cfRule>
  </conditionalFormatting>
  <conditionalFormatting sqref="AG17">
    <cfRule type="cellIs" dxfId="8" priority="12" operator="equal">
      <formula>0</formula>
    </cfRule>
  </conditionalFormatting>
  <conditionalFormatting sqref="AG17">
    <cfRule type="cellIs" dxfId="7" priority="13" operator="equal">
      <formula>0</formula>
    </cfRule>
  </conditionalFormatting>
  <conditionalFormatting sqref="B20">
    <cfRule type="cellIs" dxfId="6" priority="8" operator="equal">
      <formula>0</formula>
    </cfRule>
  </conditionalFormatting>
  <conditionalFormatting sqref="H20">
    <cfRule type="cellIs" dxfId="5" priority="5" operator="equal">
      <formula>0</formula>
    </cfRule>
  </conditionalFormatting>
  <conditionalFormatting sqref="H20">
    <cfRule type="cellIs" dxfId="4" priority="6" operator="equal">
      <formula>"0+"</formula>
    </cfRule>
  </conditionalFormatting>
  <conditionalFormatting sqref="C20:F20">
    <cfRule type="cellIs" dxfId="3" priority="4" operator="equal">
      <formula>0</formula>
    </cfRule>
  </conditionalFormatting>
  <conditionalFormatting sqref="AG2:AG16">
    <cfRule type="cellIs" dxfId="2" priority="2" operator="equal">
      <formula>0</formula>
    </cfRule>
  </conditionalFormatting>
  <conditionalFormatting sqref="AG2:AG16">
    <cfRule type="cellIs" dxfId="1" priority="3" operator="equal">
      <formula>0</formula>
    </cfRule>
  </conditionalFormatting>
  <conditionalFormatting sqref="AK2:AK16">
    <cfRule type="cellIs" dxfId="0" priority="1" operator="equal">
      <formula>0</formula>
    </cfRule>
  </conditionalFormatting>
  <dataValidations count="41">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Y16 AE16 AC16 AA16">
      <formula1>$CU$65:$CU$129</formula1>
    </dataValidation>
    <dataValidation type="list" allowBlank="1" showErrorMessage="1" sqref="Y9 AE9 AC9 AA9">
      <formula1>$CN$65:$CN$129</formula1>
    </dataValidation>
    <dataValidation type="list" allowBlank="1" showErrorMessage="1" sqref="Y8 AE8 AC8 AA8">
      <formula1>$CM$65:$CM$129</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Y17 AE17 AC17 AA17">
      <formula1>$CV$65:$CV$129</formula1>
    </dataValidation>
    <dataValidation type="list" allowBlank="1" showErrorMessage="1" sqref="AI27 K35">
      <formula1>$AY$67:$AY$70</formula1>
    </dataValidation>
    <dataValidation type="list" allowBlank="1" showErrorMessage="1" sqref="Y10 AE10 AC10 AA10">
      <formula1>$CO$65:$CO$129</formula1>
    </dataValidation>
    <dataValidation type="list" allowBlank="1" showErrorMessage="1" sqref="Y11 AE11 AC11 AA11">
      <formula1>$CP$65:$CP$129</formula1>
    </dataValidation>
    <dataValidation type="list" allowBlank="1" showErrorMessage="1" sqref="Y15 AE15 AC15 AA15">
      <formula1>$CT$65:$CT$129</formula1>
    </dataValidation>
    <dataValidation type="list" allowBlank="1" showErrorMessage="1" sqref="AD27">
      <formula1>$BO$64:$BO$73</formula1>
    </dataValidation>
    <dataValidation type="list" allowBlank="1" showErrorMessage="1" sqref="AJ30">
      <formula1>$BA$81:$BA$86</formula1>
    </dataValidation>
    <dataValidation type="list" allowBlank="1" showErrorMessage="1" sqref="Y12 AE12 AC12 AA12">
      <formula1>$CQ$65:$CQ$129</formula1>
    </dataValidation>
    <dataValidation type="list" allowBlank="1" showErrorMessage="1" sqref="Y14 AE14 AC14 AA14">
      <formula1>$CS$65:$CS$129</formula1>
    </dataValidation>
    <dataValidation type="list" allowBlank="1" showErrorMessage="1" sqref="W24 W21">
      <formula1>$AY$67:$AY$73</formula1>
    </dataValidation>
    <dataValidation type="list" allowBlank="1" showErrorMessage="1" sqref="Y13 AE13 AC13 AA13">
      <formula1>$CR$65:$CR$129</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Y2 AA2 AE2 AC2">
      <formula1>$CG$65:$CG$129</formula1>
    </dataValidation>
    <dataValidation type="list" allowBlank="1" showErrorMessage="1" sqref="Y4 AE4 AC4 AA4">
      <formula1>$CI$65:$CI$129</formula1>
    </dataValidation>
    <dataValidation type="list" allowBlank="1" showErrorMessage="1" sqref="Y3 AE3 AC3 AA3">
      <formula1>$CH$65:$CH$129</formula1>
    </dataValidation>
    <dataValidation type="list" allowBlank="1" showErrorMessage="1" sqref="AD24:AD25">
      <formula1>$BD$64:$BD$74</formula1>
    </dataValidation>
    <dataValidation type="list" allowBlank="1" showErrorMessage="1" sqref="Y5 AE5 AC5 AA5">
      <formula1>$CJ$65:$CJ$129</formula1>
    </dataValidation>
    <dataValidation type="list" allowBlank="1" showErrorMessage="1" sqref="Y6 AE6 AC6 AA6">
      <formula1>$CK$65:$CK$129</formula1>
    </dataValidation>
    <dataValidation type="list" allowBlank="1" showErrorMessage="1" sqref="Y7 AE7 AC7 AA7">
      <formula1>$CL$65:$CL$129</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J22">
      <formula1>$BM$3:$BM$31</formula1>
    </dataValidation>
    <dataValidation type="list" allowBlank="1" showErrorMessage="1" sqref="AG2:AH17">
      <formula1>$AT$66:$AT$75</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StarPlayers!$C$65:$C$85</xm:f>
          </x14:formula1>
          <xm:sqref>C18:C19</xm:sqref>
        </x14:dataValidation>
        <x14:dataValidation type="list" allowBlank="1" showErrorMessage="1">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6" sqref="D6"/>
    </sheetView>
  </sheetViews>
  <sheetFormatPr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81" t="str">
        <f>IF(Roster!$J$24="Italiano","vinte",(IF(Roster!$J$24="Español","gan.",(IF(Roster!$J$24="Deutsch","sieg",(IF(Roster!$J$24="Français","vic.","won")))))))</f>
        <v>won</v>
      </c>
      <c r="B1" s="182" t="str">
        <f>IF(Roster!$J$24="Italiano","par.",(IF(Roster!$J$24="Español","emp.",(IF(Roster!$J$24="Deutsch","une.",(IF(Roster!$J$24="Français","nul","tied")))))))</f>
        <v>tied</v>
      </c>
      <c r="C1" s="183" t="str">
        <f>IF(Roster!$J$24="Italiano","perse",(IF(Roster!$J$24="Español","per.",(IF(Roster!$J$24="Deutsch","nie.",(IF(Roster!$J$24="Français","déf.","lost")))))))</f>
        <v>lost</v>
      </c>
      <c r="D1" s="381" t="str">
        <f>IF(Roster!$J$24="Italiano","STATISTICHE",(IF(Roster!$J$24="Español","ESTADÍSTICAS",(IF(Roster!$J$24="Deutsch","STATISTIK",(IF(Roster!$J$24="Français","STATISITQUES","STATISTICS")))))))</f>
        <v>STATISTICS</v>
      </c>
      <c r="E1" s="382"/>
      <c r="F1" s="396" t="s">
        <v>1211</v>
      </c>
      <c r="G1" s="397"/>
      <c r="H1" s="398"/>
      <c r="I1" s="396" t="str">
        <f>IF(Roster!$J$24="Español","HER",(IF(Roster!$J$24="Deutsch","VER",(IF(Roster!$J$24="Français","BLES","CAS")))))</f>
        <v>CAS</v>
      </c>
      <c r="J1" s="397"/>
      <c r="K1" s="398"/>
      <c r="L1" s="396" t="str">
        <f>IF(Roster!$J$24="Español","HL",(IF(Roster!$J$24="Deutsch","SV",(IF(Roster!$J$24="Français","COM","BH")))))</f>
        <v>BH</v>
      </c>
      <c r="M1" s="397"/>
      <c r="N1" s="399"/>
      <c r="O1" s="400" t="str">
        <f>IF(Roster!$J$24="Español","HG",(IF(Roster!$J$24="Deutsch","BV",(IF(Roster!$J$24="Français","BS","SI")))))</f>
        <v>SI</v>
      </c>
      <c r="P1" s="397"/>
      <c r="Q1" s="399"/>
      <c r="R1" s="400" t="str">
        <f>IF(Roster!$J$24="Italiano","Uccisioni",(IF(Roster!$J$24="Español","Muertos",(IF(Roster!$J$24="Deutsch","Tot",(IF(Roster!$J$24="Français","Mort","Kills")))))))</f>
        <v>Kills</v>
      </c>
      <c r="S1" s="397"/>
      <c r="T1" s="398"/>
      <c r="U1" s="396" t="str">
        <f>IF(Roster!$J$24="Italiano","ESPULSI",(IF(Roster!$J$24="Español","EXPULSADOS",(IF(Roster!$J$24="Deutsch","VOM PLATZ G.",(IF(Roster!$J$24="Français","EXPULSÉ","SENT OFF")))))))</f>
        <v>SENT OFF</v>
      </c>
      <c r="V1" s="397"/>
      <c r="W1" s="398"/>
      <c r="X1" s="263" t="str">
        <f>IF(Roster!$J$24="Italiano","NOTE",(IF(Roster!$J$24="Español","NOTAS",(IF(Roster!$J$24="Deutsch","NOTIZEN","NOTES")))))</f>
        <v>NOTES</v>
      </c>
      <c r="Y1" s="401"/>
      <c r="Z1" s="14"/>
      <c r="AA1" s="14"/>
      <c r="AB1" s="14"/>
      <c r="AC1" s="14"/>
      <c r="AD1" s="14"/>
      <c r="AE1" s="14"/>
    </row>
    <row r="2" spans="1:31" ht="12" customHeight="1">
      <c r="A2" s="61">
        <f>COUNTIF(AE6:AE18,"1")</f>
        <v>0</v>
      </c>
      <c r="B2" s="62">
        <f>COUNTIF(AE6:AE18,"2")</f>
        <v>0</v>
      </c>
      <c r="C2" s="63">
        <f>COUNTIF(AE6:AE18,"3")</f>
        <v>0</v>
      </c>
      <c r="D2" s="383"/>
      <c r="E2" s="384"/>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11"/>
      <c r="Y2" s="402"/>
      <c r="Z2" s="14"/>
      <c r="AA2" s="69">
        <v>1</v>
      </c>
      <c r="AB2" s="14"/>
      <c r="AC2" s="14"/>
      <c r="AD2" s="69"/>
      <c r="AE2" s="14"/>
    </row>
    <row r="3" spans="1:31" ht="11.25" customHeight="1">
      <c r="A3" s="70">
        <f t="shared" ref="A3:C3" si="5">IFERROR((A2/(COUNTA($F$6:$F$18))),0)</f>
        <v>0</v>
      </c>
      <c r="B3" s="71">
        <f t="shared" si="5"/>
        <v>0</v>
      </c>
      <c r="C3" s="72">
        <f t="shared" si="5"/>
        <v>0</v>
      </c>
      <c r="D3" s="385"/>
      <c r="E3" s="386"/>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12"/>
      <c r="Y3" s="402"/>
      <c r="Z3" s="14"/>
      <c r="AA3" s="14"/>
      <c r="AB3" s="14"/>
      <c r="AC3" s="14"/>
      <c r="AD3" s="14"/>
      <c r="AE3" s="14"/>
    </row>
    <row r="4" spans="1:31" ht="7.5" customHeight="1">
      <c r="A4" s="404"/>
      <c r="B4" s="405"/>
      <c r="C4" s="405"/>
      <c r="D4" s="405"/>
      <c r="E4" s="405"/>
      <c r="F4" s="405"/>
      <c r="G4" s="405"/>
      <c r="H4" s="405"/>
      <c r="I4" s="405"/>
      <c r="J4" s="405"/>
      <c r="K4" s="405"/>
      <c r="L4" s="405"/>
      <c r="M4" s="405"/>
      <c r="N4" s="405"/>
      <c r="O4" s="405"/>
      <c r="P4" s="405"/>
      <c r="Q4" s="405"/>
      <c r="R4" s="405"/>
      <c r="S4" s="405"/>
      <c r="T4" s="405"/>
      <c r="U4" s="405"/>
      <c r="V4" s="405"/>
      <c r="W4" s="405"/>
      <c r="X4" s="406"/>
      <c r="Y4" s="402"/>
      <c r="Z4" s="14"/>
      <c r="AA4" s="14"/>
      <c r="AB4" s="14"/>
      <c r="AC4" s="14"/>
      <c r="AD4" s="14"/>
      <c r="AE4" s="14"/>
    </row>
    <row r="5" spans="1:31" ht="21" customHeight="1">
      <c r="A5" s="387">
        <v>0</v>
      </c>
      <c r="B5" s="388"/>
      <c r="C5" s="389"/>
      <c r="D5" s="260" t="str">
        <f>IF(Roster!$J$24="Italiano","AVVERSARIO",(IF(Roster!$J$24="Español","OPONENTE",(IF(Roster!$J$24="Deutsch","GEGNER",(IF(Roster!$J$24="Français","ADVERSAIRE","OPPONENT")))))))</f>
        <v>OPPONENT</v>
      </c>
      <c r="E5" s="261" t="str">
        <f>IF(Roster!$J$24="Italiano","RAZZA",(IF(Roster!$J$24="Español","RAZA",(IF(Roster!$J$24="Deutsch","RASSE",(IF(Roster!$J$24="Français","TYPE D'ÉQUIPE","RACE")))))))</f>
        <v>RACE</v>
      </c>
      <c r="F5" s="413" t="s">
        <v>1211</v>
      </c>
      <c r="G5" s="414"/>
      <c r="H5" s="415"/>
      <c r="I5" s="413" t="str">
        <f>IF(Roster!$J$24="Español","HER",(IF(Roster!$J$24="Deutsch","VER",(IF(Roster!$J$24="Français","BLES","CAS")))))</f>
        <v>CAS</v>
      </c>
      <c r="J5" s="414"/>
      <c r="K5" s="415"/>
      <c r="L5" s="396" t="str">
        <f>IF(Roster!$J$24="Español","HL",(IF(Roster!$J$24="Deutsch","SV",(IF(Roster!$J$24="Français","COM","BH")))))</f>
        <v>BH</v>
      </c>
      <c r="M5" s="414"/>
      <c r="N5" s="416"/>
      <c r="O5" s="400" t="str">
        <f>IF(Roster!$J$24="Español","HG",(IF(Roster!$J$24="Deutsch","BV",(IF(Roster!$J$24="Français","BS","SI")))))</f>
        <v>SI</v>
      </c>
      <c r="P5" s="414"/>
      <c r="Q5" s="416"/>
      <c r="R5" s="400" t="str">
        <f>IF(Roster!$J$24="Italiano","UCCISIONI",(IF(Roster!$J$24="Español","MUERTOS",(IF(Roster!$J$24="Deutsch","TOT",(IF(Roster!$J$24="Français","MORT","KILLS")))))))</f>
        <v>KILLS</v>
      </c>
      <c r="S5" s="414"/>
      <c r="T5" s="415"/>
      <c r="U5" s="417" t="str">
        <f>IF(Roster!$J$24="Italiano","ESPULSI",(IF(Roster!$J$24="Español","EXPULSADOS",(IF(Roster!$J$24="Deutsch","VOM PLATZ G.",(IF(Roster!$J$24="Français","EXPULSÉ","SENT OFF")))))))</f>
        <v>SENT OFF</v>
      </c>
      <c r="V5" s="414"/>
      <c r="W5" s="415"/>
      <c r="X5" s="262" t="str">
        <f>IF(Roster!$J$24="Italiano","NOTE",(IF(Roster!$J$24="Español","NOTAS",(IF(Roster!$J$24="Deutsch","NOTIZEN","NOTES")))))</f>
        <v>NOTES</v>
      </c>
      <c r="Y5" s="402"/>
      <c r="Z5" s="78"/>
      <c r="AA5" s="79" t="s">
        <v>249</v>
      </c>
      <c r="AB5" s="79" t="s">
        <v>250</v>
      </c>
      <c r="AC5" s="79" t="s">
        <v>251</v>
      </c>
      <c r="AD5" s="78"/>
      <c r="AE5" s="78"/>
    </row>
    <row r="6" spans="1:31" ht="21" customHeight="1">
      <c r="A6" s="80">
        <v>1</v>
      </c>
      <c r="B6" s="407" t="str">
        <f>IF(F6&lt;&gt;"",(IF(F6&gt;H6,$A$1,(IF(F6=H6,$B$1,(IF(F6&lt;H6,$C$1,"")))))),"")</f>
        <v/>
      </c>
      <c r="C6" s="408"/>
      <c r="D6" s="185"/>
      <c r="E6" s="186"/>
      <c r="F6" s="187"/>
      <c r="G6" s="81" t="s">
        <v>248</v>
      </c>
      <c r="H6" s="190"/>
      <c r="I6" s="82">
        <f t="shared" ref="I6:I18" si="6">L6+O6+R6</f>
        <v>0</v>
      </c>
      <c r="J6" s="83" t="s">
        <v>248</v>
      </c>
      <c r="K6" s="84">
        <f t="shared" ref="K6:K18" si="7">N6+Q6+T6</f>
        <v>0</v>
      </c>
      <c r="L6" s="187"/>
      <c r="M6" s="81" t="s">
        <v>248</v>
      </c>
      <c r="N6" s="192"/>
      <c r="O6" s="193"/>
      <c r="P6" s="81" t="s">
        <v>248</v>
      </c>
      <c r="Q6" s="192"/>
      <c r="R6" s="193"/>
      <c r="S6" s="81" t="s">
        <v>248</v>
      </c>
      <c r="T6" s="192"/>
      <c r="U6" s="187"/>
      <c r="V6" s="81" t="s">
        <v>248</v>
      </c>
      <c r="W6" s="190"/>
      <c r="X6" s="196"/>
      <c r="Y6" s="402"/>
      <c r="Z6" s="14"/>
      <c r="AA6" s="37" t="b">
        <v>0</v>
      </c>
      <c r="AB6" s="37" t="b">
        <v>0</v>
      </c>
      <c r="AC6" s="37" t="b">
        <v>0</v>
      </c>
      <c r="AD6" s="14"/>
      <c r="AE6" s="14" t="str">
        <f t="shared" ref="AE6:AE18" si="8">IF(F6&lt;&gt;"",(IF(F6&gt;H6,1,(IF(F6=H6,2,(IF(F6&lt;H6,3,"")))))),"")</f>
        <v/>
      </c>
    </row>
    <row r="7" spans="1:31" ht="21" customHeight="1">
      <c r="A7" s="85">
        <v>2</v>
      </c>
      <c r="B7" s="407" t="str">
        <f t="shared" ref="B7:B18" si="9">IF(F7&lt;&gt;"",(IF(F7&gt;H7,$A$1,(IF(F7=H7,$B$1,(IF(F7&lt;H7,$C$1,"")))))),"")</f>
        <v/>
      </c>
      <c r="C7" s="408"/>
      <c r="D7" s="188"/>
      <c r="E7" s="186"/>
      <c r="F7" s="189"/>
      <c r="G7" s="86" t="s">
        <v>248</v>
      </c>
      <c r="H7" s="191"/>
      <c r="I7" s="82">
        <f t="shared" si="6"/>
        <v>0</v>
      </c>
      <c r="J7" s="87" t="s">
        <v>248</v>
      </c>
      <c r="K7" s="84">
        <f t="shared" si="7"/>
        <v>0</v>
      </c>
      <c r="L7" s="189"/>
      <c r="M7" s="86" t="s">
        <v>248</v>
      </c>
      <c r="N7" s="194"/>
      <c r="O7" s="195"/>
      <c r="P7" s="86" t="s">
        <v>248</v>
      </c>
      <c r="Q7" s="194"/>
      <c r="R7" s="195"/>
      <c r="S7" s="86" t="s">
        <v>248</v>
      </c>
      <c r="T7" s="194"/>
      <c r="U7" s="189"/>
      <c r="V7" s="86" t="s">
        <v>248</v>
      </c>
      <c r="W7" s="191"/>
      <c r="X7" s="197"/>
      <c r="Y7" s="402"/>
      <c r="Z7" s="14"/>
      <c r="AA7" s="37" t="b">
        <v>0</v>
      </c>
      <c r="AB7" s="37" t="b">
        <v>0</v>
      </c>
      <c r="AC7" s="37" t="b">
        <v>0</v>
      </c>
      <c r="AD7" s="14"/>
      <c r="AE7" s="14" t="str">
        <f t="shared" si="8"/>
        <v/>
      </c>
    </row>
    <row r="8" spans="1:31" ht="21" customHeight="1">
      <c r="A8" s="80">
        <v>3</v>
      </c>
      <c r="B8" s="407" t="str">
        <f t="shared" si="9"/>
        <v/>
      </c>
      <c r="C8" s="408"/>
      <c r="D8" s="185"/>
      <c r="E8" s="186"/>
      <c r="F8" s="187"/>
      <c r="G8" s="81" t="s">
        <v>248</v>
      </c>
      <c r="H8" s="190"/>
      <c r="I8" s="82">
        <f t="shared" si="6"/>
        <v>0</v>
      </c>
      <c r="J8" s="83" t="s">
        <v>248</v>
      </c>
      <c r="K8" s="84">
        <f t="shared" si="7"/>
        <v>0</v>
      </c>
      <c r="L8" s="187"/>
      <c r="M8" s="81" t="s">
        <v>248</v>
      </c>
      <c r="N8" s="192"/>
      <c r="O8" s="193"/>
      <c r="P8" s="81" t="s">
        <v>248</v>
      </c>
      <c r="Q8" s="192"/>
      <c r="R8" s="193"/>
      <c r="S8" s="81" t="s">
        <v>248</v>
      </c>
      <c r="T8" s="192"/>
      <c r="U8" s="187"/>
      <c r="V8" s="81" t="s">
        <v>248</v>
      </c>
      <c r="W8" s="190"/>
      <c r="X8" s="196"/>
      <c r="Y8" s="402"/>
      <c r="Z8" s="14"/>
      <c r="AA8" s="37" t="b">
        <v>0</v>
      </c>
      <c r="AB8" s="37" t="b">
        <v>0</v>
      </c>
      <c r="AC8" s="37" t="b">
        <v>0</v>
      </c>
      <c r="AD8" s="14"/>
      <c r="AE8" s="14" t="str">
        <f t="shared" si="8"/>
        <v/>
      </c>
    </row>
    <row r="9" spans="1:31" ht="21" customHeight="1">
      <c r="A9" s="80">
        <v>4</v>
      </c>
      <c r="B9" s="407" t="str">
        <f t="shared" si="9"/>
        <v/>
      </c>
      <c r="C9" s="408"/>
      <c r="D9" s="185"/>
      <c r="E9" s="186"/>
      <c r="F9" s="187"/>
      <c r="G9" s="81" t="s">
        <v>248</v>
      </c>
      <c r="H9" s="190"/>
      <c r="I9" s="82">
        <f t="shared" si="6"/>
        <v>0</v>
      </c>
      <c r="J9" s="83" t="s">
        <v>248</v>
      </c>
      <c r="K9" s="84">
        <f t="shared" si="7"/>
        <v>0</v>
      </c>
      <c r="L9" s="187"/>
      <c r="M9" s="81" t="s">
        <v>248</v>
      </c>
      <c r="N9" s="192"/>
      <c r="O9" s="193"/>
      <c r="P9" s="81" t="s">
        <v>248</v>
      </c>
      <c r="Q9" s="192"/>
      <c r="R9" s="193"/>
      <c r="S9" s="81" t="s">
        <v>248</v>
      </c>
      <c r="T9" s="192"/>
      <c r="U9" s="187"/>
      <c r="V9" s="81" t="s">
        <v>248</v>
      </c>
      <c r="W9" s="190"/>
      <c r="X9" s="196"/>
      <c r="Y9" s="402"/>
      <c r="Z9" s="14"/>
      <c r="AA9" s="37" t="b">
        <v>0</v>
      </c>
      <c r="AB9" s="37" t="b">
        <v>0</v>
      </c>
      <c r="AC9" s="37" t="b">
        <v>0</v>
      </c>
      <c r="AD9" s="14"/>
      <c r="AE9" s="14" t="str">
        <f t="shared" si="8"/>
        <v/>
      </c>
    </row>
    <row r="10" spans="1:31" ht="21" customHeight="1">
      <c r="A10" s="80">
        <v>5</v>
      </c>
      <c r="B10" s="407" t="str">
        <f t="shared" si="9"/>
        <v/>
      </c>
      <c r="C10" s="408"/>
      <c r="D10" s="185"/>
      <c r="E10" s="186"/>
      <c r="F10" s="187"/>
      <c r="G10" s="81" t="s">
        <v>248</v>
      </c>
      <c r="H10" s="190"/>
      <c r="I10" s="82">
        <f t="shared" si="6"/>
        <v>0</v>
      </c>
      <c r="J10" s="83" t="s">
        <v>248</v>
      </c>
      <c r="K10" s="84">
        <f t="shared" si="7"/>
        <v>0</v>
      </c>
      <c r="L10" s="187"/>
      <c r="M10" s="81" t="s">
        <v>248</v>
      </c>
      <c r="N10" s="192"/>
      <c r="O10" s="193"/>
      <c r="P10" s="81" t="s">
        <v>248</v>
      </c>
      <c r="Q10" s="192"/>
      <c r="R10" s="193"/>
      <c r="S10" s="81" t="s">
        <v>248</v>
      </c>
      <c r="T10" s="192"/>
      <c r="U10" s="187"/>
      <c r="V10" s="81" t="s">
        <v>248</v>
      </c>
      <c r="W10" s="190"/>
      <c r="X10" s="196"/>
      <c r="Y10" s="402"/>
      <c r="Z10" s="14"/>
      <c r="AA10" s="37"/>
      <c r="AB10" s="37"/>
      <c r="AC10" s="37"/>
      <c r="AD10" s="14"/>
      <c r="AE10" s="14" t="str">
        <f t="shared" si="8"/>
        <v/>
      </c>
    </row>
    <row r="11" spans="1:31" ht="21" customHeight="1">
      <c r="A11" s="85">
        <v>6</v>
      </c>
      <c r="B11" s="407" t="str">
        <f t="shared" si="9"/>
        <v/>
      </c>
      <c r="C11" s="408"/>
      <c r="D11" s="185"/>
      <c r="E11" s="186"/>
      <c r="F11" s="187"/>
      <c r="G11" s="81" t="s">
        <v>248</v>
      </c>
      <c r="H11" s="190"/>
      <c r="I11" s="82">
        <f t="shared" si="6"/>
        <v>0</v>
      </c>
      <c r="J11" s="83" t="s">
        <v>248</v>
      </c>
      <c r="K11" s="84">
        <f t="shared" si="7"/>
        <v>0</v>
      </c>
      <c r="L11" s="187"/>
      <c r="M11" s="81" t="s">
        <v>248</v>
      </c>
      <c r="N11" s="192"/>
      <c r="O11" s="193"/>
      <c r="P11" s="81" t="s">
        <v>248</v>
      </c>
      <c r="Q11" s="192"/>
      <c r="R11" s="193"/>
      <c r="S11" s="81" t="s">
        <v>248</v>
      </c>
      <c r="T11" s="192"/>
      <c r="U11" s="187"/>
      <c r="V11" s="81" t="s">
        <v>248</v>
      </c>
      <c r="W11" s="190"/>
      <c r="X11" s="196"/>
      <c r="Y11" s="402"/>
      <c r="Z11" s="14"/>
      <c r="AA11" s="37"/>
      <c r="AB11" s="37"/>
      <c r="AC11" s="37"/>
      <c r="AD11" s="14"/>
      <c r="AE11" s="14" t="str">
        <f t="shared" si="8"/>
        <v/>
      </c>
    </row>
    <row r="12" spans="1:31" ht="21" customHeight="1">
      <c r="A12" s="80">
        <v>7</v>
      </c>
      <c r="B12" s="407" t="str">
        <f t="shared" si="9"/>
        <v/>
      </c>
      <c r="C12" s="408"/>
      <c r="D12" s="185"/>
      <c r="E12" s="186"/>
      <c r="F12" s="187"/>
      <c r="G12" s="81" t="s">
        <v>248</v>
      </c>
      <c r="H12" s="190"/>
      <c r="I12" s="82">
        <f t="shared" si="6"/>
        <v>0</v>
      </c>
      <c r="J12" s="83" t="s">
        <v>248</v>
      </c>
      <c r="K12" s="84">
        <f t="shared" si="7"/>
        <v>0</v>
      </c>
      <c r="L12" s="187"/>
      <c r="M12" s="81" t="s">
        <v>248</v>
      </c>
      <c r="N12" s="192"/>
      <c r="O12" s="193"/>
      <c r="P12" s="81" t="s">
        <v>248</v>
      </c>
      <c r="Q12" s="192"/>
      <c r="R12" s="193"/>
      <c r="S12" s="81" t="s">
        <v>248</v>
      </c>
      <c r="T12" s="192"/>
      <c r="U12" s="187"/>
      <c r="V12" s="81" t="s">
        <v>248</v>
      </c>
      <c r="W12" s="190"/>
      <c r="X12" s="196"/>
      <c r="Y12" s="402"/>
      <c r="Z12" s="14"/>
      <c r="AA12" s="37"/>
      <c r="AB12" s="37"/>
      <c r="AC12" s="37"/>
      <c r="AD12" s="14"/>
      <c r="AE12" s="14" t="str">
        <f t="shared" si="8"/>
        <v/>
      </c>
    </row>
    <row r="13" spans="1:31" ht="21" customHeight="1">
      <c r="A13" s="80">
        <v>8</v>
      </c>
      <c r="B13" s="407" t="str">
        <f t="shared" si="9"/>
        <v/>
      </c>
      <c r="C13" s="408"/>
      <c r="D13" s="185"/>
      <c r="E13" s="186"/>
      <c r="F13" s="187"/>
      <c r="G13" s="81" t="s">
        <v>248</v>
      </c>
      <c r="H13" s="190"/>
      <c r="I13" s="82">
        <f t="shared" si="6"/>
        <v>0</v>
      </c>
      <c r="J13" s="83" t="s">
        <v>248</v>
      </c>
      <c r="K13" s="84">
        <f t="shared" si="7"/>
        <v>0</v>
      </c>
      <c r="L13" s="187"/>
      <c r="M13" s="81" t="s">
        <v>248</v>
      </c>
      <c r="N13" s="192"/>
      <c r="O13" s="193"/>
      <c r="P13" s="81" t="s">
        <v>248</v>
      </c>
      <c r="Q13" s="192"/>
      <c r="R13" s="193"/>
      <c r="S13" s="81" t="s">
        <v>248</v>
      </c>
      <c r="T13" s="192"/>
      <c r="U13" s="187"/>
      <c r="V13" s="81" t="s">
        <v>248</v>
      </c>
      <c r="W13" s="190"/>
      <c r="X13" s="196"/>
      <c r="Y13" s="402"/>
      <c r="Z13" s="14"/>
      <c r="AA13" s="37"/>
      <c r="AB13" s="37"/>
      <c r="AC13" s="37"/>
      <c r="AD13" s="14"/>
      <c r="AE13" s="14" t="str">
        <f t="shared" si="8"/>
        <v/>
      </c>
    </row>
    <row r="14" spans="1:31" ht="21" customHeight="1">
      <c r="A14" s="80">
        <v>9</v>
      </c>
      <c r="B14" s="407" t="str">
        <f t="shared" si="9"/>
        <v/>
      </c>
      <c r="C14" s="408"/>
      <c r="D14" s="185"/>
      <c r="E14" s="186"/>
      <c r="F14" s="187"/>
      <c r="G14" s="81" t="s">
        <v>248</v>
      </c>
      <c r="H14" s="190"/>
      <c r="I14" s="82">
        <f t="shared" si="6"/>
        <v>0</v>
      </c>
      <c r="J14" s="83" t="s">
        <v>248</v>
      </c>
      <c r="K14" s="84">
        <f t="shared" si="7"/>
        <v>0</v>
      </c>
      <c r="L14" s="187"/>
      <c r="M14" s="81" t="s">
        <v>248</v>
      </c>
      <c r="N14" s="192"/>
      <c r="O14" s="193"/>
      <c r="P14" s="81" t="s">
        <v>248</v>
      </c>
      <c r="Q14" s="192"/>
      <c r="R14" s="193"/>
      <c r="S14" s="81" t="s">
        <v>248</v>
      </c>
      <c r="T14" s="192"/>
      <c r="U14" s="187"/>
      <c r="V14" s="81" t="s">
        <v>248</v>
      </c>
      <c r="W14" s="190"/>
      <c r="X14" s="196"/>
      <c r="Y14" s="402"/>
      <c r="Z14" s="14"/>
      <c r="AA14" s="37" t="b">
        <v>0</v>
      </c>
      <c r="AB14" s="37" t="b">
        <v>0</v>
      </c>
      <c r="AC14" s="37" t="b">
        <v>0</v>
      </c>
      <c r="AD14" s="14"/>
      <c r="AE14" s="14" t="str">
        <f t="shared" si="8"/>
        <v/>
      </c>
    </row>
    <row r="15" spans="1:31" ht="21" customHeight="1">
      <c r="A15" s="85">
        <v>10</v>
      </c>
      <c r="B15" s="407" t="str">
        <f t="shared" si="9"/>
        <v/>
      </c>
      <c r="C15" s="408"/>
      <c r="D15" s="185"/>
      <c r="E15" s="186"/>
      <c r="F15" s="187"/>
      <c r="G15" s="81" t="s">
        <v>248</v>
      </c>
      <c r="H15" s="190"/>
      <c r="I15" s="82">
        <f t="shared" si="6"/>
        <v>0</v>
      </c>
      <c r="J15" s="83" t="s">
        <v>248</v>
      </c>
      <c r="K15" s="84">
        <f t="shared" si="7"/>
        <v>0</v>
      </c>
      <c r="L15" s="187"/>
      <c r="M15" s="81" t="s">
        <v>248</v>
      </c>
      <c r="N15" s="192"/>
      <c r="O15" s="193"/>
      <c r="P15" s="81" t="s">
        <v>248</v>
      </c>
      <c r="Q15" s="192"/>
      <c r="R15" s="193"/>
      <c r="S15" s="81" t="s">
        <v>248</v>
      </c>
      <c r="T15" s="192"/>
      <c r="U15" s="187"/>
      <c r="V15" s="81" t="s">
        <v>248</v>
      </c>
      <c r="W15" s="190"/>
      <c r="X15" s="196"/>
      <c r="Y15" s="402"/>
      <c r="Z15" s="14"/>
      <c r="AA15" s="37" t="b">
        <v>0</v>
      </c>
      <c r="AB15" s="37" t="b">
        <v>0</v>
      </c>
      <c r="AC15" s="37" t="b">
        <v>0</v>
      </c>
      <c r="AD15" s="14"/>
      <c r="AE15" s="14" t="str">
        <f t="shared" si="8"/>
        <v/>
      </c>
    </row>
    <row r="16" spans="1:31" ht="21" customHeight="1">
      <c r="A16" s="80">
        <v>11</v>
      </c>
      <c r="B16" s="407" t="str">
        <f t="shared" si="9"/>
        <v/>
      </c>
      <c r="C16" s="408"/>
      <c r="D16" s="185"/>
      <c r="E16" s="186"/>
      <c r="F16" s="187"/>
      <c r="G16" s="81" t="s">
        <v>248</v>
      </c>
      <c r="H16" s="190"/>
      <c r="I16" s="82">
        <f t="shared" si="6"/>
        <v>0</v>
      </c>
      <c r="J16" s="83" t="s">
        <v>248</v>
      </c>
      <c r="K16" s="84">
        <f t="shared" si="7"/>
        <v>0</v>
      </c>
      <c r="L16" s="187"/>
      <c r="M16" s="81" t="s">
        <v>248</v>
      </c>
      <c r="N16" s="192"/>
      <c r="O16" s="193"/>
      <c r="P16" s="81" t="s">
        <v>248</v>
      </c>
      <c r="Q16" s="192"/>
      <c r="R16" s="193"/>
      <c r="S16" s="81" t="s">
        <v>248</v>
      </c>
      <c r="T16" s="192"/>
      <c r="U16" s="187"/>
      <c r="V16" s="81" t="s">
        <v>248</v>
      </c>
      <c r="W16" s="190"/>
      <c r="X16" s="196"/>
      <c r="Y16" s="402"/>
      <c r="Z16" s="14"/>
      <c r="AA16" s="37" t="b">
        <v>0</v>
      </c>
      <c r="AB16" s="37" t="b">
        <v>0</v>
      </c>
      <c r="AC16" s="37" t="b">
        <v>0</v>
      </c>
      <c r="AD16" s="14"/>
      <c r="AE16" s="14" t="str">
        <f t="shared" si="8"/>
        <v/>
      </c>
    </row>
    <row r="17" spans="1:31" ht="21" customHeight="1">
      <c r="A17" s="80">
        <v>12</v>
      </c>
      <c r="B17" s="407" t="str">
        <f t="shared" si="9"/>
        <v/>
      </c>
      <c r="C17" s="408"/>
      <c r="D17" s="185"/>
      <c r="E17" s="186"/>
      <c r="F17" s="187"/>
      <c r="G17" s="81" t="s">
        <v>248</v>
      </c>
      <c r="H17" s="190"/>
      <c r="I17" s="82">
        <f t="shared" si="6"/>
        <v>0</v>
      </c>
      <c r="J17" s="83" t="s">
        <v>248</v>
      </c>
      <c r="K17" s="84">
        <f t="shared" si="7"/>
        <v>0</v>
      </c>
      <c r="L17" s="187"/>
      <c r="M17" s="81" t="s">
        <v>248</v>
      </c>
      <c r="N17" s="192"/>
      <c r="O17" s="193"/>
      <c r="P17" s="81" t="s">
        <v>248</v>
      </c>
      <c r="Q17" s="192"/>
      <c r="R17" s="193"/>
      <c r="S17" s="81" t="s">
        <v>248</v>
      </c>
      <c r="T17" s="192"/>
      <c r="U17" s="187"/>
      <c r="V17" s="81" t="s">
        <v>248</v>
      </c>
      <c r="W17" s="190"/>
      <c r="X17" s="196"/>
      <c r="Y17" s="403"/>
      <c r="Z17" s="14"/>
      <c r="AA17" s="37" t="b">
        <v>0</v>
      </c>
      <c r="AB17" s="37" t="b">
        <v>0</v>
      </c>
      <c r="AC17" s="37" t="b">
        <v>0</v>
      </c>
      <c r="AD17" s="14"/>
      <c r="AE17" s="14" t="str">
        <f t="shared" si="8"/>
        <v/>
      </c>
    </row>
    <row r="18" spans="1:31" ht="21" customHeight="1">
      <c r="A18" s="80">
        <v>13</v>
      </c>
      <c r="B18" s="407" t="str">
        <f t="shared" si="9"/>
        <v/>
      </c>
      <c r="C18" s="408"/>
      <c r="D18" s="185"/>
      <c r="E18" s="186"/>
      <c r="F18" s="187"/>
      <c r="G18" s="81" t="s">
        <v>248</v>
      </c>
      <c r="H18" s="190"/>
      <c r="I18" s="82">
        <f t="shared" si="6"/>
        <v>0</v>
      </c>
      <c r="J18" s="83" t="s">
        <v>248</v>
      </c>
      <c r="K18" s="84">
        <f t="shared" si="7"/>
        <v>0</v>
      </c>
      <c r="L18" s="187"/>
      <c r="M18" s="81" t="s">
        <v>248</v>
      </c>
      <c r="N18" s="192"/>
      <c r="O18" s="193"/>
      <c r="P18" s="81" t="s">
        <v>248</v>
      </c>
      <c r="Q18" s="192"/>
      <c r="R18" s="193"/>
      <c r="S18" s="81" t="s">
        <v>248</v>
      </c>
      <c r="T18" s="192"/>
      <c r="U18" s="187"/>
      <c r="V18" s="81" t="s">
        <v>248</v>
      </c>
      <c r="W18" s="190"/>
      <c r="X18" s="196"/>
      <c r="Y18" s="88"/>
      <c r="Z18" s="14"/>
      <c r="AA18" s="37" t="b">
        <v>0</v>
      </c>
      <c r="AB18" s="37" t="b">
        <v>0</v>
      </c>
      <c r="AC18" s="37" t="b">
        <v>0</v>
      </c>
      <c r="AD18" s="14"/>
      <c r="AE18" s="14" t="str">
        <f t="shared" si="8"/>
        <v/>
      </c>
    </row>
    <row r="19" spans="1:31" ht="21" customHeight="1">
      <c r="A19" s="409" t="str">
        <f>IF(Roster!$J$24="Italiano","  Note",(IF(Roster!$J$24="Español","  Notas",(IF(Roster!$J$24="Deutsch","  Notizen","  Notes")))))</f>
        <v xml:space="preserve">  Notes</v>
      </c>
      <c r="B19" s="405"/>
      <c r="C19" s="410"/>
      <c r="D19" s="390"/>
      <c r="E19" s="391"/>
      <c r="F19" s="391"/>
      <c r="G19" s="391"/>
      <c r="H19" s="391"/>
      <c r="I19" s="391"/>
      <c r="J19" s="391"/>
      <c r="K19" s="391"/>
      <c r="L19" s="391"/>
      <c r="M19" s="391"/>
      <c r="N19" s="391"/>
      <c r="O19" s="391"/>
      <c r="P19" s="391"/>
      <c r="Q19" s="391"/>
      <c r="R19" s="391"/>
      <c r="S19" s="391"/>
      <c r="T19" s="391"/>
      <c r="U19" s="391"/>
      <c r="V19" s="391"/>
      <c r="W19" s="391"/>
      <c r="X19" s="392"/>
      <c r="Y19" s="89"/>
      <c r="Z19" s="14"/>
      <c r="AA19" s="69"/>
      <c r="AB19" s="69"/>
      <c r="AC19" s="69"/>
      <c r="AD19" s="14"/>
      <c r="AE19" s="14"/>
    </row>
    <row r="20" spans="1:31" ht="8.25" customHeight="1">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5"/>
      <c r="Z20" s="14"/>
      <c r="AA20" s="14"/>
      <c r="AB20" s="14"/>
      <c r="AC20" s="14"/>
      <c r="AD20" s="14"/>
      <c r="AE20" s="14"/>
    </row>
    <row r="21" spans="1:31" ht="30" hidden="1" customHeight="1">
      <c r="A21" s="90"/>
      <c r="B21" s="418"/>
      <c r="C21" s="356"/>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c r="A22" s="90"/>
      <c r="B22" s="418"/>
      <c r="C22" s="356"/>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c r="A23" s="90"/>
      <c r="B23" s="418"/>
      <c r="C23" s="356"/>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c r="A24" s="90"/>
      <c r="B24" s="418"/>
      <c r="C24" s="356"/>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c r="A25" s="90"/>
      <c r="B25" s="418"/>
      <c r="C25" s="356"/>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c r="A26" s="90"/>
      <c r="B26" s="418"/>
      <c r="C26" s="356"/>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c r="A27" s="90"/>
      <c r="B27" s="418"/>
      <c r="C27" s="356"/>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c r="A28" s="90"/>
      <c r="B28" s="418"/>
      <c r="C28" s="356"/>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c r="A29" s="90"/>
      <c r="B29" s="418"/>
      <c r="C29" s="356"/>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c r="A30" s="90"/>
      <c r="B30" s="418"/>
      <c r="C30" s="356"/>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c r="A31" s="90"/>
      <c r="B31" s="418"/>
      <c r="C31" s="356"/>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c r="A32" s="90"/>
      <c r="B32" s="418"/>
      <c r="C32" s="356"/>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c r="A33" s="90"/>
      <c r="B33" s="418"/>
      <c r="C33" s="356"/>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c r="A34" s="90"/>
      <c r="B34" s="418"/>
      <c r="C34" s="356"/>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c r="A35" s="90"/>
      <c r="B35" s="418"/>
      <c r="C35" s="356"/>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c r="A36" s="90"/>
      <c r="B36" s="418"/>
      <c r="C36" s="356"/>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c r="A37" s="90"/>
      <c r="B37" s="418"/>
      <c r="C37" s="356"/>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c r="A38" s="90"/>
      <c r="B38" s="418"/>
      <c r="C38" s="356"/>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c r="A39" s="90"/>
      <c r="B39" s="418"/>
      <c r="C39" s="356"/>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c r="A40" s="90"/>
      <c r="B40" s="418"/>
      <c r="C40" s="356"/>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c r="A41" s="90"/>
      <c r="B41" s="418"/>
      <c r="C41" s="356"/>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c r="A42" s="90"/>
      <c r="B42" s="418"/>
      <c r="C42" s="356"/>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c r="A43" s="90"/>
      <c r="B43" s="418"/>
      <c r="C43" s="356"/>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c r="A44" s="90"/>
      <c r="B44" s="418"/>
      <c r="C44" s="356"/>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c r="A45" s="90"/>
      <c r="B45" s="418"/>
      <c r="C45" s="356"/>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c r="A46" s="90"/>
      <c r="B46" s="418"/>
      <c r="C46" s="356"/>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c r="A47" s="90"/>
      <c r="B47" s="418"/>
      <c r="C47" s="356"/>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c r="A48" s="90"/>
      <c r="B48" s="418"/>
      <c r="C48" s="356"/>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c r="A49" s="90"/>
      <c r="B49" s="418"/>
      <c r="C49" s="356"/>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c r="A50" s="90"/>
      <c r="B50" s="418"/>
      <c r="C50" s="356"/>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c r="A51" s="90"/>
      <c r="B51" s="418"/>
      <c r="C51" s="356"/>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c r="A52" s="90"/>
      <c r="B52" s="418"/>
      <c r="C52" s="356"/>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c r="A53" s="90"/>
      <c r="B53" s="418"/>
      <c r="C53" s="356"/>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c r="A54" s="90"/>
      <c r="B54" s="418"/>
      <c r="C54" s="356"/>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c r="A55" s="90"/>
      <c r="B55" s="418"/>
      <c r="C55" s="356"/>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c r="A56" s="90"/>
      <c r="B56" s="418"/>
      <c r="C56" s="356"/>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c r="A57" s="90"/>
      <c r="B57" s="418"/>
      <c r="C57" s="356"/>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c r="A58" s="90"/>
      <c r="B58" s="418"/>
      <c r="C58" s="356"/>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c r="A59" s="90"/>
      <c r="B59" s="418"/>
      <c r="C59" s="356"/>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c r="A60" s="90"/>
      <c r="B60" s="418"/>
      <c r="C60" s="356"/>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c r="A61" s="90"/>
      <c r="B61" s="418"/>
      <c r="C61" s="356"/>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c r="A62" s="90"/>
      <c r="B62" s="418"/>
      <c r="C62" s="356"/>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c r="A63" s="90"/>
      <c r="B63" s="418"/>
      <c r="C63" s="356"/>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c r="A64" s="90"/>
      <c r="B64" s="418"/>
      <c r="C64" s="356"/>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c r="A65" s="90"/>
      <c r="B65" s="418"/>
      <c r="C65" s="356"/>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c r="A66" s="90"/>
      <c r="B66" s="418"/>
      <c r="C66" s="356"/>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c r="A67" s="90"/>
      <c r="B67" s="418"/>
      <c r="C67" s="356"/>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c r="A68" s="90"/>
      <c r="B68" s="418"/>
      <c r="C68" s="356"/>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c r="A69" s="90"/>
      <c r="B69" s="418"/>
      <c r="C69" s="356"/>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c r="A70" s="90"/>
      <c r="B70" s="418"/>
      <c r="C70" s="356"/>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c r="A71" s="90"/>
      <c r="B71" s="418"/>
      <c r="C71" s="356"/>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c r="A72" s="90"/>
      <c r="B72" s="418"/>
      <c r="C72" s="356"/>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c r="A73" s="90"/>
      <c r="B73" s="418"/>
      <c r="C73" s="356"/>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c r="A74" s="90"/>
      <c r="B74" s="418"/>
      <c r="C74" s="356"/>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c r="A75" s="90"/>
      <c r="B75" s="418"/>
      <c r="C75" s="356"/>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c r="A76" s="90"/>
      <c r="B76" s="418"/>
      <c r="C76" s="356"/>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c r="A77" s="90"/>
      <c r="B77" s="418"/>
      <c r="C77" s="356"/>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c r="A78" s="90"/>
      <c r="B78" s="418"/>
      <c r="C78" s="356"/>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c r="A79" s="90"/>
      <c r="B79" s="418"/>
      <c r="C79" s="356"/>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c r="A80" s="90"/>
      <c r="B80" s="418"/>
      <c r="C80" s="356"/>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c r="A81" s="90"/>
      <c r="B81" s="418"/>
      <c r="C81" s="356"/>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c r="A82" s="90"/>
      <c r="B82" s="418"/>
      <c r="C82" s="356"/>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c r="A83" s="90"/>
      <c r="B83" s="418"/>
      <c r="C83" s="356"/>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c r="A84" s="90"/>
      <c r="B84" s="418"/>
      <c r="C84" s="356"/>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c r="A85" s="90"/>
      <c r="B85" s="418"/>
      <c r="C85" s="356"/>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c r="A86" s="90"/>
      <c r="B86" s="418"/>
      <c r="C86" s="356"/>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c r="A87" s="90"/>
      <c r="B87" s="418"/>
      <c r="C87" s="356"/>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c r="A88" s="90"/>
      <c r="B88" s="418"/>
      <c r="C88" s="356"/>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c r="A89" s="90"/>
      <c r="B89" s="418"/>
      <c r="C89" s="356"/>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c r="A90" s="90"/>
      <c r="B90" s="418"/>
      <c r="C90" s="356"/>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c r="A91" s="90"/>
      <c r="B91" s="418"/>
      <c r="C91" s="356"/>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c r="A92" s="90"/>
      <c r="B92" s="418"/>
      <c r="C92" s="356"/>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c r="A93" s="90"/>
      <c r="B93" s="418"/>
      <c r="C93" s="356"/>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c r="A94" s="90"/>
      <c r="B94" s="418"/>
      <c r="C94" s="356"/>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c r="A95" s="90"/>
      <c r="B95" s="418"/>
      <c r="C95" s="356"/>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c r="A96" s="90"/>
      <c r="B96" s="418"/>
      <c r="C96" s="356"/>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c r="A97" s="90"/>
      <c r="B97" s="418"/>
      <c r="C97" s="356"/>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c r="A98" s="90"/>
      <c r="B98" s="418"/>
      <c r="C98" s="356"/>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c r="A99" s="90"/>
      <c r="B99" s="418"/>
      <c r="C99" s="356"/>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c r="A100" s="90"/>
      <c r="B100" s="418"/>
      <c r="C100" s="356"/>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c r="A101" s="90"/>
      <c r="B101" s="418"/>
      <c r="C101" s="356"/>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c r="A102" s="90"/>
      <c r="B102" s="418"/>
      <c r="C102" s="356"/>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c r="A103" s="90"/>
      <c r="B103" s="418"/>
      <c r="C103" s="356"/>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c r="A104" s="90"/>
      <c r="B104" s="418"/>
      <c r="C104" s="356"/>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c r="A105" s="90"/>
      <c r="B105" s="418"/>
      <c r="C105" s="356"/>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c r="A106" s="90"/>
      <c r="B106" s="418"/>
      <c r="C106" s="356"/>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c r="A107" s="90"/>
      <c r="B107" s="418"/>
      <c r="C107" s="356"/>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c r="A108" s="90"/>
      <c r="B108" s="418"/>
      <c r="C108" s="356"/>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c r="A109" s="90"/>
      <c r="B109" s="418"/>
      <c r="C109" s="356"/>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c r="A110" s="90"/>
      <c r="B110" s="418"/>
      <c r="C110" s="356"/>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c r="A111" s="90"/>
      <c r="B111" s="418"/>
      <c r="C111" s="356"/>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c r="A112" s="90"/>
      <c r="B112" s="418"/>
      <c r="C112" s="356"/>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c r="A113" s="90"/>
      <c r="B113" s="418"/>
      <c r="C113" s="356"/>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c r="A114" s="90"/>
      <c r="B114" s="418"/>
      <c r="C114" s="356"/>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c r="A115" s="90"/>
      <c r="B115" s="418"/>
      <c r="C115" s="356"/>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c r="A116" s="90"/>
      <c r="B116" s="418"/>
      <c r="C116" s="356"/>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c r="A117" s="90"/>
      <c r="B117" s="418"/>
      <c r="C117" s="356"/>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c r="A118" s="90"/>
      <c r="B118" s="418"/>
      <c r="C118" s="356"/>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c r="A119" s="90"/>
      <c r="B119" s="418"/>
      <c r="C119" s="356"/>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c r="A120" s="90"/>
      <c r="B120" s="418"/>
      <c r="C120" s="356"/>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c r="A121" s="90"/>
      <c r="B121" s="418"/>
      <c r="C121" s="356"/>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c r="A122" s="90"/>
      <c r="B122" s="418"/>
      <c r="C122" s="356"/>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c r="A123" s="90"/>
      <c r="B123" s="418"/>
      <c r="C123" s="356"/>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c r="A124" s="90"/>
      <c r="B124" s="418"/>
      <c r="C124" s="356"/>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c r="A125" s="90"/>
      <c r="B125" s="418"/>
      <c r="C125" s="356"/>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c r="A126" s="90"/>
      <c r="B126" s="418"/>
      <c r="C126" s="356"/>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c r="A127" s="90"/>
      <c r="B127" s="418"/>
      <c r="C127" s="356"/>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c r="A128" s="90"/>
      <c r="B128" s="418"/>
      <c r="C128" s="356"/>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c r="A129" s="90"/>
      <c r="B129" s="418"/>
      <c r="C129" s="356"/>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c r="A130" s="90"/>
      <c r="B130" s="418"/>
      <c r="C130" s="356"/>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c r="A131" s="90"/>
      <c r="B131" s="418"/>
      <c r="C131" s="356"/>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c r="A132" s="90"/>
      <c r="B132" s="418"/>
      <c r="C132" s="356"/>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c r="A133" s="90"/>
      <c r="B133" s="418"/>
      <c r="C133" s="356"/>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c r="A134" s="90"/>
      <c r="B134" s="418"/>
      <c r="C134" s="356"/>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c r="A135" s="90"/>
      <c r="B135" s="418"/>
      <c r="C135" s="356"/>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c r="A136" s="90"/>
      <c r="B136" s="418"/>
      <c r="C136" s="356"/>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c r="A137" s="90"/>
      <c r="B137" s="418"/>
      <c r="C137" s="356"/>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c r="A138" s="90"/>
      <c r="B138" s="418"/>
      <c r="C138" s="356"/>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c r="A139" s="90"/>
      <c r="B139" s="418"/>
      <c r="C139" s="356"/>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c r="A140" s="90"/>
      <c r="B140" s="418"/>
      <c r="C140" s="356"/>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c r="A141" s="90"/>
      <c r="B141" s="418"/>
      <c r="C141" s="356"/>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c r="A142" s="90"/>
      <c r="B142" s="418"/>
      <c r="C142" s="356"/>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c r="A143" s="90"/>
      <c r="B143" s="418"/>
      <c r="C143" s="356"/>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c r="A144" s="90"/>
      <c r="B144" s="418"/>
      <c r="C144" s="356"/>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c r="A145" s="90"/>
      <c r="B145" s="418"/>
      <c r="C145" s="356"/>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c r="A146" s="90"/>
      <c r="B146" s="418"/>
      <c r="C146" s="356"/>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c r="A147" s="90"/>
      <c r="B147" s="418"/>
      <c r="C147" s="356"/>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c r="A148" s="90"/>
      <c r="B148" s="418"/>
      <c r="C148" s="356"/>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c r="A149" s="90"/>
      <c r="B149" s="418"/>
      <c r="C149" s="356"/>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c r="A150" s="90"/>
      <c r="B150" s="418"/>
      <c r="C150" s="356"/>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c r="A151" s="90"/>
      <c r="B151" s="418"/>
      <c r="C151" s="356"/>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c r="A152" s="90"/>
      <c r="B152" s="418"/>
      <c r="C152" s="356"/>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c r="A153" s="90"/>
      <c r="B153" s="418"/>
      <c r="C153" s="356"/>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c r="A154" s="90"/>
      <c r="B154" s="418"/>
      <c r="C154" s="356"/>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c r="A155" s="90"/>
      <c r="B155" s="418"/>
      <c r="C155" s="356"/>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c r="A156" s="90"/>
      <c r="B156" s="418"/>
      <c r="C156" s="356"/>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c r="A157" s="90"/>
      <c r="B157" s="418"/>
      <c r="C157" s="356"/>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c r="A158" s="90"/>
      <c r="B158" s="418"/>
      <c r="C158" s="356"/>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c r="A159" s="90"/>
      <c r="B159" s="418"/>
      <c r="C159" s="356"/>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c r="A160" s="90"/>
      <c r="B160" s="418"/>
      <c r="C160" s="356"/>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c r="A161" s="90"/>
      <c r="B161" s="418"/>
      <c r="C161" s="356"/>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c r="A162" s="90"/>
      <c r="B162" s="418"/>
      <c r="C162" s="356"/>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c r="A163" s="90"/>
      <c r="B163" s="418"/>
      <c r="C163" s="356"/>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c r="A164" s="90"/>
      <c r="B164" s="418"/>
      <c r="C164" s="356"/>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c r="A165" s="90"/>
      <c r="B165" s="418"/>
      <c r="C165" s="356"/>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c r="A166" s="90"/>
      <c r="B166" s="418"/>
      <c r="C166" s="356"/>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c r="A167" s="90"/>
      <c r="B167" s="418"/>
      <c r="C167" s="356"/>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c r="A168" s="90"/>
      <c r="B168" s="418"/>
      <c r="C168" s="356"/>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c r="A169" s="90"/>
      <c r="B169" s="418"/>
      <c r="C169" s="356"/>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c r="A170" s="90"/>
      <c r="B170" s="418"/>
      <c r="C170" s="356"/>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c r="A171" s="90"/>
      <c r="B171" s="418"/>
      <c r="C171" s="356"/>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c r="A172" s="90"/>
      <c r="B172" s="418"/>
      <c r="C172" s="356"/>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c r="A173" s="90"/>
      <c r="B173" s="418"/>
      <c r="C173" s="356"/>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c r="A174" s="90"/>
      <c r="B174" s="418"/>
      <c r="C174" s="356"/>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c r="A175" s="90"/>
      <c r="B175" s="418"/>
      <c r="C175" s="356"/>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c r="A176" s="90"/>
      <c r="B176" s="418"/>
      <c r="C176" s="356"/>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c r="A177" s="90"/>
      <c r="B177" s="418"/>
      <c r="C177" s="356"/>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c r="A178" s="90"/>
      <c r="B178" s="418"/>
      <c r="C178" s="356"/>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c r="A179" s="90"/>
      <c r="B179" s="418"/>
      <c r="C179" s="356"/>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c r="A180" s="90"/>
      <c r="B180" s="418"/>
      <c r="C180" s="356"/>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c r="A181" s="90"/>
      <c r="B181" s="418"/>
      <c r="C181" s="356"/>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c r="A182" s="90"/>
      <c r="B182" s="418"/>
      <c r="C182" s="356"/>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c r="A183" s="90"/>
      <c r="B183" s="418"/>
      <c r="C183" s="356"/>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c r="A184" s="90"/>
      <c r="B184" s="418"/>
      <c r="C184" s="356"/>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c r="A185" s="90"/>
      <c r="B185" s="418"/>
      <c r="C185" s="356"/>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c r="A186" s="90"/>
      <c r="B186" s="418"/>
      <c r="C186" s="356"/>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c r="A187" s="90"/>
      <c r="B187" s="418"/>
      <c r="C187" s="356"/>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c r="A188" s="90"/>
      <c r="B188" s="418"/>
      <c r="C188" s="356"/>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c r="A189" s="90"/>
      <c r="B189" s="418"/>
      <c r="C189" s="356"/>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c r="A190" s="90"/>
      <c r="B190" s="418"/>
      <c r="C190" s="356"/>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c r="A191" s="90"/>
      <c r="B191" s="418"/>
      <c r="C191" s="356"/>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c r="A192" s="90"/>
      <c r="B192" s="418"/>
      <c r="C192" s="356"/>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c r="A193" s="90"/>
      <c r="B193" s="418"/>
      <c r="C193" s="356"/>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c r="A194" s="90"/>
      <c r="B194" s="418"/>
      <c r="C194" s="356"/>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c r="A195" s="90"/>
      <c r="B195" s="418"/>
      <c r="C195" s="356"/>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c r="A196" s="90"/>
      <c r="B196" s="418"/>
      <c r="C196" s="356"/>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c r="A197" s="90"/>
      <c r="B197" s="418"/>
      <c r="C197" s="356"/>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c r="A198" s="90"/>
      <c r="B198" s="418"/>
      <c r="C198" s="356"/>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c r="A199" s="90"/>
      <c r="B199" s="418"/>
      <c r="C199" s="356"/>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c r="A200" s="90"/>
      <c r="B200" s="418"/>
      <c r="C200" s="356"/>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c r="A201" s="90"/>
      <c r="B201" s="418"/>
      <c r="C201" s="356"/>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c r="A202" s="90"/>
      <c r="B202" s="418"/>
      <c r="C202" s="356"/>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c r="A203" s="90"/>
      <c r="B203" s="418"/>
      <c r="C203" s="356"/>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c r="A204" s="90"/>
      <c r="B204" s="418"/>
      <c r="C204" s="356"/>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c r="A205" s="90"/>
      <c r="B205" s="418"/>
      <c r="C205" s="356"/>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c r="A206" s="90"/>
      <c r="B206" s="418"/>
      <c r="C206" s="356"/>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c r="A207" s="90"/>
      <c r="B207" s="418"/>
      <c r="C207" s="356"/>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c r="A208" s="90"/>
      <c r="B208" s="418"/>
      <c r="C208" s="356"/>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c r="A209" s="90"/>
      <c r="B209" s="418"/>
      <c r="C209" s="356"/>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c r="A210" s="90"/>
      <c r="B210" s="418"/>
      <c r="C210" s="356"/>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B189:C189"/>
    <mergeCell ref="B190:C190"/>
    <mergeCell ref="B191:C191"/>
    <mergeCell ref="B176:C176"/>
    <mergeCell ref="B177:C177"/>
    <mergeCell ref="B178:C178"/>
    <mergeCell ref="B179:C179"/>
    <mergeCell ref="B180:C180"/>
    <mergeCell ref="B181:C181"/>
    <mergeCell ref="B182:C182"/>
    <mergeCell ref="B183:C183"/>
    <mergeCell ref="B184:C184"/>
    <mergeCell ref="B171:C171"/>
    <mergeCell ref="B172:C172"/>
    <mergeCell ref="B173:C173"/>
    <mergeCell ref="B174:C174"/>
    <mergeCell ref="B175:C175"/>
    <mergeCell ref="B185:C185"/>
    <mergeCell ref="B186:C186"/>
    <mergeCell ref="B187:C187"/>
    <mergeCell ref="B188:C188"/>
    <mergeCell ref="B162:C162"/>
    <mergeCell ref="B163:C163"/>
    <mergeCell ref="B164:C164"/>
    <mergeCell ref="B165:C165"/>
    <mergeCell ref="B166:C166"/>
    <mergeCell ref="B167:C167"/>
    <mergeCell ref="B168:C168"/>
    <mergeCell ref="B169:C169"/>
    <mergeCell ref="B170:C170"/>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33:C133"/>
    <mergeCell ref="B134:C134"/>
    <mergeCell ref="B135:C135"/>
    <mergeCell ref="B136:C136"/>
    <mergeCell ref="B137:C137"/>
    <mergeCell ref="B138:C138"/>
    <mergeCell ref="B139:C139"/>
    <mergeCell ref="B140:C140"/>
    <mergeCell ref="B141:C141"/>
    <mergeCell ref="B124:C124"/>
    <mergeCell ref="B125:C125"/>
    <mergeCell ref="B126:C126"/>
    <mergeCell ref="B127:C127"/>
    <mergeCell ref="B128:C128"/>
    <mergeCell ref="B129:C129"/>
    <mergeCell ref="B130:C130"/>
    <mergeCell ref="B131:C131"/>
    <mergeCell ref="B132:C132"/>
    <mergeCell ref="B115:C115"/>
    <mergeCell ref="B116:C116"/>
    <mergeCell ref="B117:C117"/>
    <mergeCell ref="B118:C118"/>
    <mergeCell ref="B119:C119"/>
    <mergeCell ref="B120:C120"/>
    <mergeCell ref="B121:C121"/>
    <mergeCell ref="B122:C122"/>
    <mergeCell ref="B123:C123"/>
    <mergeCell ref="B106:C106"/>
    <mergeCell ref="B107:C107"/>
    <mergeCell ref="B108:C108"/>
    <mergeCell ref="B109:C109"/>
    <mergeCell ref="B110:C110"/>
    <mergeCell ref="B111:C111"/>
    <mergeCell ref="B112:C112"/>
    <mergeCell ref="B113:C113"/>
    <mergeCell ref="B114:C114"/>
    <mergeCell ref="B97:C97"/>
    <mergeCell ref="B98:C98"/>
    <mergeCell ref="B99:C99"/>
    <mergeCell ref="B100:C100"/>
    <mergeCell ref="B101:C101"/>
    <mergeCell ref="B102:C102"/>
    <mergeCell ref="B103:C103"/>
    <mergeCell ref="B104:C104"/>
    <mergeCell ref="B105:C105"/>
    <mergeCell ref="B88:C88"/>
    <mergeCell ref="B89:C89"/>
    <mergeCell ref="B90:C90"/>
    <mergeCell ref="B91:C91"/>
    <mergeCell ref="B92:C92"/>
    <mergeCell ref="B93:C93"/>
    <mergeCell ref="B94:C94"/>
    <mergeCell ref="B95:C95"/>
    <mergeCell ref="B96:C96"/>
    <mergeCell ref="B79:C79"/>
    <mergeCell ref="B80:C80"/>
    <mergeCell ref="B81:C81"/>
    <mergeCell ref="B82:C82"/>
    <mergeCell ref="B83:C83"/>
    <mergeCell ref="B84:C84"/>
    <mergeCell ref="B85:C85"/>
    <mergeCell ref="B86:C86"/>
    <mergeCell ref="B87:C87"/>
    <mergeCell ref="B70:C70"/>
    <mergeCell ref="B71:C71"/>
    <mergeCell ref="B72:C72"/>
    <mergeCell ref="B73:C73"/>
    <mergeCell ref="B74:C74"/>
    <mergeCell ref="B75:C75"/>
    <mergeCell ref="B76:C76"/>
    <mergeCell ref="B77:C77"/>
    <mergeCell ref="B78:C78"/>
    <mergeCell ref="B61:C61"/>
    <mergeCell ref="B62:C62"/>
    <mergeCell ref="B63:C63"/>
    <mergeCell ref="B64:C64"/>
    <mergeCell ref="B65:C65"/>
    <mergeCell ref="B66:C66"/>
    <mergeCell ref="B67:C67"/>
    <mergeCell ref="B68:C68"/>
    <mergeCell ref="B69:C69"/>
    <mergeCell ref="B52:C52"/>
    <mergeCell ref="B53:C53"/>
    <mergeCell ref="B54:C54"/>
    <mergeCell ref="B55:C55"/>
    <mergeCell ref="B56:C56"/>
    <mergeCell ref="B57:C57"/>
    <mergeCell ref="B58:C58"/>
    <mergeCell ref="B59:C59"/>
    <mergeCell ref="B60:C60"/>
    <mergeCell ref="B43:C43"/>
    <mergeCell ref="B44:C44"/>
    <mergeCell ref="B45:C45"/>
    <mergeCell ref="B46:C46"/>
    <mergeCell ref="B47:C47"/>
    <mergeCell ref="B48:C48"/>
    <mergeCell ref="B49:C49"/>
    <mergeCell ref="B50:C50"/>
    <mergeCell ref="B51:C51"/>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7:C7"/>
    <mergeCell ref="B8:C8"/>
    <mergeCell ref="B9:C9"/>
    <mergeCell ref="B21:C21"/>
    <mergeCell ref="B22:C22"/>
    <mergeCell ref="B23:C23"/>
    <mergeCell ref="B24:C24"/>
    <mergeCell ref="B14:C14"/>
    <mergeCell ref="B15:C15"/>
    <mergeCell ref="B10:C10"/>
    <mergeCell ref="B11:C11"/>
    <mergeCell ref="B12:C12"/>
    <mergeCell ref="B13:C1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zoomScaleNormal="100" workbookViewId="0">
      <selection activeCell="A3" sqref="A3"/>
    </sheetView>
  </sheetViews>
  <sheetFormatPr defaultColWidth="0" defaultRowHeight="12.75" customHeight="1" zeroHeight="1"/>
  <cols>
    <col min="1" max="1" width="25.85546875" style="216" customWidth="1"/>
    <col min="2" max="2" width="17.140625" style="216" customWidth="1"/>
    <col min="3" max="19" width="8.5703125" style="216" customWidth="1"/>
    <col min="20" max="20" width="2.85546875" style="216" customWidth="1"/>
    <col min="21" max="21" width="11.42578125" style="216" hidden="1" customWidth="1"/>
    <col min="22" max="22" width="8.5703125" style="216" hidden="1" customWidth="1"/>
    <col min="23" max="25" width="8.5703125" style="217" hidden="1" customWidth="1"/>
    <col min="26" max="35" width="8.5703125" style="216" hidden="1" customWidth="1"/>
    <col min="36" max="36" width="9.140625" style="216" hidden="1" customWidth="1"/>
    <col min="37" max="46" width="7.140625" style="216" hidden="1" customWidth="1"/>
    <col min="47" max="16384" width="9.140625" style="216" hidden="1"/>
  </cols>
  <sheetData>
    <row r="1" spans="1:57" ht="21.75" customHeight="1">
      <c r="A1" s="419" t="str">
        <f>IF(Roster!$J$24="Italiano","MERCENARIO 1",(IF(Roster!$J$24="Español","MERCENARIO 1",(IF(Roster!$J$24="Français","MERCENAIRE 1","MERCENARY 1")))))</f>
        <v>MERCENARY 1</v>
      </c>
      <c r="B1" s="419"/>
      <c r="C1" s="419"/>
      <c r="D1" s="419"/>
      <c r="E1" s="419"/>
      <c r="F1" s="419"/>
      <c r="G1" s="419"/>
      <c r="H1" s="419"/>
      <c r="I1" s="419"/>
      <c r="J1" s="419"/>
      <c r="K1" s="419"/>
      <c r="L1" s="419"/>
      <c r="M1" s="419"/>
      <c r="N1" s="419"/>
      <c r="O1" s="419"/>
      <c r="P1" s="419"/>
      <c r="Q1" s="419"/>
      <c r="R1" s="419"/>
      <c r="S1" s="419"/>
      <c r="T1" s="434"/>
    </row>
    <row r="2" spans="1:57" s="219" customFormat="1" ht="22.5" customHeight="1">
      <c r="A2" s="218" t="str">
        <f>IF(Roster!$J$24="Italiano","MERCENARIO 1",(IF(Roster!$J$24="Español","MERCENARIO 1",(IF(Roster!$J$24="Français","MERCENAIRE 1","MERCENARY 1")))))</f>
        <v>MERCENARY 1</v>
      </c>
      <c r="B2" s="218" t="str">
        <f>IF(Roster!$J$24="Italiano","TIPO",(IF(Roster!$J$24="Español","TIPO",(IF(Roster!$J$24="Deutsch","POSITION",(IF(Roster!$J$24="Français","POSTE","TYPE")))))))</f>
        <v>TYPE</v>
      </c>
      <c r="C2" s="218" t="str">
        <f>IF(Roster!$J$24="Español","MO",(IF(Roster!$J$24="Deutsch","BE",(IF(Roster!$J$24="Français","M","MA")))))</f>
        <v>MA</v>
      </c>
      <c r="D2" s="218" t="str">
        <f>IF(Roster!$J$24="Español","FU",(IF(Roster!$J$24="Français","F","ST")))</f>
        <v>ST</v>
      </c>
      <c r="E2" s="218" t="str">
        <f>IF(Roster!$J$24="Deutsch","GE","AG")</f>
        <v>AG</v>
      </c>
      <c r="F2" s="218" t="str">
        <f>IF(Roster!$J$24="Deutsch","WG",(IF(Roster!$J$24="Français","CP","PA")))</f>
        <v>PA</v>
      </c>
      <c r="G2" s="218" t="str">
        <f>IF(Roster!$J$24="Español","AR",(IF(Roster!$J$24="Deutsch","RW",(IF(Roster!$J$24="Français","AR","AV")))))</f>
        <v>AV</v>
      </c>
      <c r="H2" s="420" t="str">
        <f>IF(Roster!$J$24="Italiano","ABILITÀ",(IF(Roster!$J$24="Español","HABILIDADES",(IF(Roster!$J$24="Deutsch","FERTIGKEITEN",(IF(Roster!$J$24="Français","COMPÉTENCES","SKILLS")))))))</f>
        <v>SKILLS</v>
      </c>
      <c r="I2" s="421"/>
      <c r="J2" s="421"/>
      <c r="K2" s="421"/>
      <c r="L2" s="421"/>
      <c r="M2" s="421"/>
      <c r="N2" s="421"/>
      <c r="O2" s="421"/>
      <c r="P2" s="421"/>
      <c r="Q2" s="421"/>
      <c r="R2" s="422"/>
      <c r="S2" s="218" t="str">
        <f>IF(Roster!$J$24="Italiano","COSTO",(IF(Roster!$J$24="Español","PRECIO",(IF(Roster!$J$24="Deutsch","WERT",(IF(Roster!$J$24="Français","VALEUR","COST")))))))</f>
        <v>COST</v>
      </c>
      <c r="T2" s="434"/>
      <c r="V2" s="220" t="s">
        <v>255</v>
      </c>
      <c r="W2" s="221" t="s">
        <v>202</v>
      </c>
      <c r="X2" s="222"/>
      <c r="Y2" s="220" t="s">
        <v>1259</v>
      </c>
      <c r="Z2" s="223"/>
      <c r="AA2" s="223"/>
      <c r="AB2" s="221"/>
      <c r="AC2" s="222"/>
      <c r="AD2" s="222"/>
      <c r="AE2" s="222"/>
      <c r="AF2" s="220" t="s">
        <v>1260</v>
      </c>
      <c r="AG2" s="223"/>
      <c r="AH2" s="223"/>
      <c r="AI2" s="221"/>
      <c r="AK2" s="435" t="s">
        <v>1261</v>
      </c>
      <c r="AL2" s="436"/>
      <c r="AM2" s="436"/>
      <c r="AN2" s="436"/>
      <c r="AO2" s="437"/>
      <c r="AP2" s="435" t="s">
        <v>1262</v>
      </c>
      <c r="AQ2" s="436"/>
      <c r="AR2" s="436"/>
      <c r="AS2" s="436"/>
      <c r="AT2" s="437"/>
      <c r="AV2" s="224" t="str">
        <f>IF(B3="Stunty Superstar",(IF($K$40="Español","Agallas",(IF($K$40="Deutsch","Abwehren",(IF($K$40="Français","Arracher le ballon","Block")))))),IF($J$24="Español","Agallas",(IF($J$24="Deutsch","Abwehren",(IF($J$24="Français","Arracher le ballon","Block"))))))</f>
        <v>Block</v>
      </c>
      <c r="AW2" s="224" t="s">
        <v>192</v>
      </c>
      <c r="AX2" s="225" t="str">
        <f>IF($K$40="Español","Atrapar",(IF($K$40="Deutsch","Aufspringen",(IF($K$40="Français","Défenseur ","Catch")))))</f>
        <v>Catch</v>
      </c>
      <c r="AY2" s="224" t="s">
        <v>193</v>
      </c>
      <c r="AZ2" s="224" t="str">
        <f>IF($K$40="Español","Atento al Balón",(IF($K$40="Deutsch","Abspiel",(IF($K$40="Français","Canonnier","Accurate")))))</f>
        <v>Accurate</v>
      </c>
      <c r="BA2" s="224" t="s">
        <v>195</v>
      </c>
      <c r="BB2" s="225" t="str">
        <f>IF($K$40="Español","Abrirse Paso",(IF($K$40="Deutsch","Armhebel",(IF($K$40="Français","Bagarre","Arm Bar")))))</f>
        <v>Arm Bar</v>
      </c>
      <c r="BC2" s="224" t="s">
        <v>194</v>
      </c>
      <c r="BD2" s="225" t="str">
        <f>IF($K$40="Español","Apariencia Asquerosa",(IF($K$40="Deutsch","Abstoßendes Aussehen",(IF($K$40="Français","Bras supplémentaire","Big Hand")))))</f>
        <v>Big Hand</v>
      </c>
      <c r="BE2" s="224" t="s">
        <v>196</v>
      </c>
    </row>
    <row r="3" spans="1:57" s="219" customFormat="1" ht="30" customHeight="1">
      <c r="A3" s="258"/>
      <c r="B3" s="258" t="s">
        <v>1265</v>
      </c>
      <c r="C3" s="226" t="str">
        <f>IF((VLOOKUP(B3,Y5:AD10,2,FALSE))+J6+(IF(AE3="G",-2,0))+(IF(OR(AE3="O",AE3="N"),-1,0))=0,"",(VLOOKUP(B3,Y5:AD10,2,FALSE))+J6+(IF(AE3="G",-2,0))+(IF(OR(AE3="O",AE3="N"),-1,0)))</f>
        <v/>
      </c>
      <c r="D3" s="226" t="str">
        <f>IF((VLOOKUP(B3,Y5:AD10,3,FALSE))+L6+(IF(AE3="G",3,0))+(IF(OR(AE3="O",AE3="N"),2,0))=0,"",(VLOOKUP(B3,Y5:AD10,3,FALSE))+L6+(IF(AE3="G",3,0))+(IF(OR(AE3="O",AE3="N"),2,0)))</f>
        <v/>
      </c>
      <c r="E3" s="226" t="str">
        <f>IF((VLOOKUP(B3,Y5:AD10,4,FALSE)+N6+(IF(AE3="J",1,0)))=0,"",(VLOOKUP(B3,Y5:AD10,4,FALSE)+N6+(IF(AE3="J",1,0))&amp;"+"))</f>
        <v/>
      </c>
      <c r="F3" s="226" t="str">
        <f>IF((VLOOKUP(B3,Y5:AD10,5,FALSE)+P6)=0,"",(VLOOKUP(B3,Y5:AD10,5,FALSE)+P6&amp;"+"))</f>
        <v/>
      </c>
      <c r="G3" s="226" t="str">
        <f>IF((VLOOKUP(B3,Y5:AD10,6,FALSE)+R6)=0,"",(VLOOKUP(B3,Y5:AD10,6,FALSE)+R6&amp;"+"))</f>
        <v/>
      </c>
      <c r="H3" s="423" t="str">
        <f>Y3&amp;(IF(Z3&lt;&gt;"",", ",""))&amp;Z3&amp;(IF(AA3&lt;&gt;"",", ",""))&amp;AA3&amp;(IF(AB3&lt;&gt;"",", ",""))&amp;AB3&amp;(IF(AF3&lt;&gt;"",", ",""))&amp;AF3&amp;(IF(AG3&lt;&gt;"",", ",""))&amp;AG3&amp;(IF(AH3&lt;&gt;"",", ",""))&amp;AH3&amp;(IF(AI3&lt;&gt;"",", ",""))&amp;AI3&amp;AK8</f>
        <v/>
      </c>
      <c r="I3" s="424"/>
      <c r="J3" s="424"/>
      <c r="K3" s="424"/>
      <c r="L3" s="424"/>
      <c r="M3" s="424"/>
      <c r="N3" s="424"/>
      <c r="O3" s="424"/>
      <c r="P3" s="424"/>
      <c r="Q3" s="424"/>
      <c r="R3" s="425"/>
      <c r="S3" s="226">
        <f>(VLOOKUP(B3,Y5:AI10,11,FALSE))+W12</f>
        <v>0</v>
      </c>
      <c r="T3" s="434"/>
      <c r="V3" s="227"/>
      <c r="W3" s="228">
        <v>0</v>
      </c>
      <c r="X3" s="229"/>
      <c r="Y3" s="230" t="str">
        <f>VLOOKUP(B3,Y5:AH10,7,FALSE)</f>
        <v/>
      </c>
      <c r="Z3" s="231" t="str">
        <f>VLOOKUP(B3,Y5:AH10,8,FALSE)</f>
        <v/>
      </c>
      <c r="AA3" s="231" t="str">
        <f>VLOOKUP(B3,Y5:AH10,9,FALSE)</f>
        <v/>
      </c>
      <c r="AB3" s="232" t="str">
        <f>VLOOKUP(B3,Y5:AH10,10,FALSE)</f>
        <v/>
      </c>
      <c r="AC3" s="222"/>
      <c r="AD3" s="222"/>
      <c r="AE3" s="222" t="str">
        <f>IFERROR((VLOOKUP(A6,R41:W55,2,FALSE)),"")</f>
        <v/>
      </c>
      <c r="AF3" s="230" t="str">
        <f>IFERROR((VLOOKUP(A6,R41:W55,3,FALSE)),"")</f>
        <v/>
      </c>
      <c r="AG3" s="231" t="str">
        <f>IFERROR((VLOOKUP(A6,R41:W55,4,FALSE)),"")</f>
        <v/>
      </c>
      <c r="AH3" s="231" t="str">
        <f>IFERROR((VLOOKUP(A6,R41:W55,5,FALSE)),"")</f>
        <v/>
      </c>
      <c r="AI3" s="232" t="str">
        <f>IFERROR((VLOOKUP(A6,R41:W55,6,FALSE)),"")</f>
        <v/>
      </c>
      <c r="AK3" s="233">
        <v>0</v>
      </c>
      <c r="AL3" s="234">
        <v>0</v>
      </c>
      <c r="AM3" s="234">
        <v>0</v>
      </c>
      <c r="AN3" s="234">
        <v>0</v>
      </c>
      <c r="AO3" s="228">
        <v>0</v>
      </c>
      <c r="AP3" s="233">
        <v>0</v>
      </c>
      <c r="AQ3" s="234">
        <v>0</v>
      </c>
      <c r="AR3" s="234">
        <v>0</v>
      </c>
      <c r="AS3" s="234">
        <v>0</v>
      </c>
      <c r="AT3" s="228">
        <v>0</v>
      </c>
      <c r="AV3" s="225" t="str">
        <f>IF(B3="Stunty Superstar",(IF($K$40="Español","Forcejear",(IF($K$40="Deutsch","Ball entreißen",(IF($K$40="Français","Blocage","Dauntless")))))),(IF($J$24="Español","Forcejear",(IF($J$24="Deutsch","Ball entreißen",(IF($J$24="Français","Blocage","Dauntless")))))))</f>
        <v>Dauntless</v>
      </c>
      <c r="AW3" s="224" t="s">
        <v>192</v>
      </c>
      <c r="AX3" s="225" t="str">
        <f>IF($K$40="Español","Echarse a un Lado",(IF($K$40="Deutsch","Ausweichen",(IF($K$40="Français","Équilibre","Diving Catch")))))</f>
        <v>Diving Catch</v>
      </c>
      <c r="AY3" s="224" t="s">
        <v>193</v>
      </c>
      <c r="AZ3" s="224" t="str">
        <f>IF($K$40="Español","Cañonero",(IF($K$40="Deutsch","Hau wech das Leder",(IF($K$40="Français","Chef","Cannoneer")))))</f>
        <v>Cannoneer</v>
      </c>
      <c r="BA3" s="224" t="s">
        <v>195</v>
      </c>
      <c r="BB3" s="225" t="str">
        <f>IF($K$40="Español","Apartar",(IF($K$40="Deutsch","Greifer",(IF($K$40="Français","Blocage multiple","Brawler")))))</f>
        <v>Brawler</v>
      </c>
      <c r="BC3" s="224" t="s">
        <v>194</v>
      </c>
      <c r="BD3" s="225" t="str">
        <f>IF($K$40="Español","Boca Monstruosa",(IF($K$40="Deutsch","Eisenharte Haut",(IF($K$40="Français","Cornes","Claw / Claws")))))</f>
        <v>Claw / Claws</v>
      </c>
      <c r="BE3" s="224" t="s">
        <v>196</v>
      </c>
    </row>
    <row r="4" spans="1:57" s="219" customFormat="1" ht="22.5" customHeight="1">
      <c r="A4" s="429" t="str">
        <f>IF(J40="Italiano","AVANZAMIENTO GIOCATORI",(IF(J40="Español","MEJORAS DEL JUGADORE",(IF(J40="Deutsch","SPIELERVERBESSERUNGEN",(IF(J40="Français","AMÉLIORATIONS DE JOUEUR","PLAYER UPGRADES")))))))</f>
        <v>PLAYER UPGRADES</v>
      </c>
      <c r="B4" s="429"/>
      <c r="C4" s="429"/>
      <c r="D4" s="429"/>
      <c r="E4" s="429"/>
      <c r="F4" s="429"/>
      <c r="G4" s="429"/>
      <c r="H4" s="429"/>
      <c r="I4" s="429"/>
      <c r="J4" s="429"/>
      <c r="K4" s="429"/>
      <c r="L4" s="429"/>
      <c r="M4" s="429"/>
      <c r="N4" s="429"/>
      <c r="O4" s="429"/>
      <c r="P4" s="429"/>
      <c r="Q4" s="429"/>
      <c r="R4" s="429"/>
      <c r="S4" s="429"/>
      <c r="T4" s="434"/>
      <c r="U4" s="235"/>
      <c r="V4" s="227" t="str">
        <f>IF($B$3="Stunty Superstar",C43,(IF($B$3="Legendary Linemen",F43,(IF($B$3="Brutal Blockers",I43,(IF($B$3="Reliable Ringers",L43,(IF($B$3="Bona Fide Big Guy",O43,"")))))))))</f>
        <v/>
      </c>
      <c r="W4" s="228" t="str">
        <f>IF($B$3="Stunty Superstar",D43,(IF($B$3="Legendary Linemen",G43,(IF($B$3="Brutal Blockers",J43,(IF($B$3="Reliable Ringers",M43,(IF($B$3="Bona Fide Big Guy",P43,"")))))))))</f>
        <v/>
      </c>
      <c r="X4" s="222"/>
      <c r="Y4" s="222"/>
      <c r="Z4" s="222"/>
      <c r="AA4" s="222"/>
      <c r="AB4" s="222"/>
      <c r="AC4" s="222"/>
      <c r="AD4" s="222"/>
      <c r="AE4" s="222"/>
      <c r="AF4" s="222"/>
      <c r="AG4" s="222"/>
      <c r="AH4" s="222"/>
      <c r="AI4" s="222"/>
      <c r="AK4" s="233">
        <v>1</v>
      </c>
      <c r="AL4" s="234">
        <v>0</v>
      </c>
      <c r="AM4" s="234">
        <f>IF(B3="Legendary Linemen",0,-1)</f>
        <v>-1</v>
      </c>
      <c r="AN4" s="234">
        <f>IF(B3="Brutal Blockers",0,-1)</f>
        <v>-1</v>
      </c>
      <c r="AO4" s="228">
        <v>1</v>
      </c>
      <c r="AP4" s="233">
        <f>IF(OR(B3="Legendary Linemen",B3="Bona Fide Big Guy"),20000,30000)</f>
        <v>30000</v>
      </c>
      <c r="AQ4" s="234">
        <v>0</v>
      </c>
      <c r="AR4" s="234">
        <f>IF(OR(B3="Stunty Superstar",B3="Bona Fide Big Guy"),40000,(IF(B3="Legendary Linemen",0,50000)))</f>
        <v>50000</v>
      </c>
      <c r="AS4" s="234">
        <f>IF(B3="Brutal Blockers",0,30000)</f>
        <v>30000</v>
      </c>
      <c r="AT4" s="228">
        <f>IF(B3="Stunty Superstar",30000,(IF(B3="Reliable Ringers",40000,20000)))</f>
        <v>20000</v>
      </c>
      <c r="AV4" s="225" t="str">
        <f>IF(B3="Stunty Superstar",(IF($K$40="Español","Furia",(IF($K$40="Deutsch","Ballgefühl",(IF($K$40="Français","Frappe précise","Fend")))))),(IF($J$24="Español","Furia",(IF($J$24="Deutsch","Ballgefühl",(IF($J$24="Français","Frappe précise","Dirty Player (+1)")))))))</f>
        <v>Dirty Player (+1)</v>
      </c>
      <c r="AW4" s="224" t="s">
        <v>192</v>
      </c>
      <c r="AX4" s="225" t="str">
        <f>IF($K$40="Español","En Pie de un Salto",(IF($K$40="Deutsch","Fangsicher",(IF($K$40="Français","Esquive","Diving Tackle")))))</f>
        <v>Diving Tackle</v>
      </c>
      <c r="AY4" s="224" t="s">
        <v>193</v>
      </c>
      <c r="AZ4" s="225" t="str">
        <f>IF($K$40="Español","Dejada",(IF($K$40="Deutsch","Im Laufen passen",(IF($K$40="Français","Délestage","Cloud Burster")))))</f>
        <v>Cloud Burster</v>
      </c>
      <c r="BA4" s="224" t="s">
        <v>195</v>
      </c>
      <c r="BB4" s="225" t="str">
        <f>IF($K$40="Español","Brazo Fuerte",(IF($K$40="Deutsch","Knochenbrecher (+1)",(IF($K$40="Français","Bras musclé","Break Tackle")))))</f>
        <v>Break Tackle</v>
      </c>
      <c r="BC4" s="224" t="s">
        <v>194</v>
      </c>
      <c r="BD4" s="225" t="str">
        <f>IF($K$40="Español","Brazos Adicionales",(IF($K$40="Deutsch","Große Hand",(IF($K$40="Français","Deux tête","Disturbing Presence")))))</f>
        <v>Disturbing Presence</v>
      </c>
      <c r="BE4" s="224" t="s">
        <v>196</v>
      </c>
    </row>
    <row r="5" spans="1:57" s="219" customFormat="1" ht="22.5" customHeight="1">
      <c r="A5" s="420" t="s">
        <v>1264</v>
      </c>
      <c r="B5" s="421"/>
      <c r="C5" s="421"/>
      <c r="D5" s="421"/>
      <c r="E5" s="421"/>
      <c r="F5" s="421"/>
      <c r="G5" s="421"/>
      <c r="H5" s="422"/>
      <c r="I5" s="218" t="str">
        <f>IF(Roster!$J$24="Italiano","COSTO",(IF(Roster!$J$24="Español","PRECIO",(IF(Roster!$J$24="Deutsch","WERT",(IF(Roster!$J$24="Français","VALEUR","COST")))))))</f>
        <v>COST</v>
      </c>
      <c r="J5" s="218" t="str">
        <f>IF(Roster!$J$24="Español","MO",(IF(Roster!$J$24="Deutsch","BE",(IF(Roster!$J$24="Français","M","MA")))))</f>
        <v>MA</v>
      </c>
      <c r="K5" s="218" t="str">
        <f>IF(Roster!$J$24="Italiano","COSTO",(IF(Roster!$J$24="Español","PRECIO",(IF(Roster!$J$24="Deutsch","WERT",(IF(Roster!$J$24="Français","VALEUR","COST")))))))</f>
        <v>COST</v>
      </c>
      <c r="L5" s="218" t="str">
        <f>IF(Roster!$J$24="Español","FU",(IF(Roster!$J$24="Français","F","ST")))</f>
        <v>ST</v>
      </c>
      <c r="M5" s="218" t="str">
        <f>IF(Roster!$J$24="Italiano","COSTO",(IF(Roster!$J$24="Español","PRECIO",(IF(Roster!$J$24="Deutsch","WERT",(IF(Roster!$J$24="Français","VALEUR","COST")))))))</f>
        <v>COST</v>
      </c>
      <c r="N5" s="218" t="str">
        <f>IF(Roster!$J$24="Deutsch","GE","AG")</f>
        <v>AG</v>
      </c>
      <c r="O5" s="218" t="str">
        <f>IF(Roster!$J$24="Italiano","COSTO",(IF(Roster!$J$24="Español","PRECIO",(IF(Roster!$J$24="Deutsch","WERT",(IF(Roster!$J$24="Français","VALEUR","COST")))))))</f>
        <v>COST</v>
      </c>
      <c r="P5" s="218" t="str">
        <f>IF(Roster!$J$24="Deutsch","WG",(IF(Roster!$J$24="Français","CP","PA")))</f>
        <v>PA</v>
      </c>
      <c r="Q5" s="218" t="str">
        <f>IF(Roster!$J$24="Italiano","COSTO",(IF(Roster!$J$24="Español","PRECIO",(IF(Roster!$J$24="Deutsch","WERT",(IF(Roster!$J$24="Français","VALEUR","COST")))))))</f>
        <v>COST</v>
      </c>
      <c r="R5" s="218" t="str">
        <f>IF(Roster!$J$24="Español","AR",(IF(Roster!$J$24="Deutsch","RW",(IF(Roster!$J$24="Français","AR","AV")))))</f>
        <v>AV</v>
      </c>
      <c r="S5" s="218" t="str">
        <f>IF(Roster!$J$24="Italiano","COSTO",(IF(Roster!$J$24="Español","PRECIO",(IF(Roster!$J$24="Deutsch","WERT",(IF(Roster!$J$24="Français","VALEUR","COST")))))))</f>
        <v>COST</v>
      </c>
      <c r="T5" s="434"/>
      <c r="U5" s="235"/>
      <c r="V5" s="227"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8" t="str">
        <f t="shared" ref="W5:W10" si="0">IF($B$3="Stunty Superstar",D44,(IF($B$3="Legendary Linemen",G44,(IF($B$3="Brutal Blockers",J44,(IF($B$3="Reliable Ringers",M44,(IF($B$3="Bona Fide Big Guy",P44,"")))))))))</f>
        <v/>
      </c>
      <c r="X5" s="222"/>
      <c r="Y5" s="220" t="s">
        <v>1265</v>
      </c>
      <c r="Z5" s="236">
        <v>0</v>
      </c>
      <c r="AA5" s="236">
        <v>0</v>
      </c>
      <c r="AB5" s="236">
        <v>0</v>
      </c>
      <c r="AC5" s="236">
        <v>0</v>
      </c>
      <c r="AD5" s="236">
        <v>0</v>
      </c>
      <c r="AE5" s="223" t="str">
        <f>""</f>
        <v/>
      </c>
      <c r="AF5" s="223" t="str">
        <f>""</f>
        <v/>
      </c>
      <c r="AG5" s="223" t="str">
        <f>""</f>
        <v/>
      </c>
      <c r="AH5" s="223" t="str">
        <f>""</f>
        <v/>
      </c>
      <c r="AI5" s="266">
        <v>0</v>
      </c>
      <c r="AK5" s="233">
        <v>2</v>
      </c>
      <c r="AL5" s="234">
        <v>0</v>
      </c>
      <c r="AM5" s="234">
        <f>IF(B3="Legendary Linemen",0,-2)</f>
        <v>-2</v>
      </c>
      <c r="AN5" s="234">
        <f>IF(B3="Brutal Blockers",0,-2)</f>
        <v>-2</v>
      </c>
      <c r="AO5" s="228">
        <v>2</v>
      </c>
      <c r="AP5" s="233">
        <f>IF(OR(B3="Stunty Superstar",B3="Reliable Ringers"),70000,(IF(B3="Legendary Linemen",40000,50000)))</f>
        <v>50000</v>
      </c>
      <c r="AQ5" s="234">
        <v>0</v>
      </c>
      <c r="AR5" s="234">
        <f>IF(OR(B3="Stunty Superstar",B3="Bona Fide Big Guy"),80000,(IF(B3="Legendary Linemen",0,100000)))</f>
        <v>100000</v>
      </c>
      <c r="AS5" s="234">
        <f>IF(B3="Brutal Blockers",0,70000)</f>
        <v>70000</v>
      </c>
      <c r="AT5" s="228">
        <f>IF(B3="Stunty Superstar",70000,(IF(B3="Reliable Ringers",80000,40000)))</f>
        <v>40000</v>
      </c>
      <c r="AV5" s="225" t="str">
        <f>IF(B3="Stunty Superstar",(IF($K$40="Español","Manos Seguras",(IF($K$40="Deutsch","Block",(IF($K$40="Français","Frénésie ","Frenzy")))))),(IF($J$24="Español","Juego Sucio (+1)",(IF($J$24="Deutsch","Block",(IF($J$24="Français","Frénésie ","Fend")))))))</f>
        <v>Fend</v>
      </c>
      <c r="AW5" s="224" t="s">
        <v>192</v>
      </c>
      <c r="AX5" s="225" t="str">
        <f>IF($K$40="Español","Esprintar",(IF($K$40="Deutsch","Fliegender Tackle",(IF($K$40="Français","Glissade contrôlée","Dodge")))))</f>
        <v>Dodge</v>
      </c>
      <c r="AY5" s="224" t="s">
        <v>193</v>
      </c>
      <c r="AZ5" s="225" t="str">
        <f>IF($K$40="Español","Líder",(IF($K$40="Deutsch","In die Wolken",(IF($K$40="Français","Fumblerooskie","Dump-Off")))))</f>
        <v>Dump-Off</v>
      </c>
      <c r="BA5" s="224" t="s">
        <v>195</v>
      </c>
      <c r="BB5" s="225" t="str">
        <f>IF($K$40="Español","Cabeza Dura",(IF($K$40="Deutsch","Mehrfachblock",(IF($K$40="Français","Châtaigne (+1)","Grab")))))</f>
        <v>Grab</v>
      </c>
      <c r="BC5" s="224" t="s">
        <v>194</v>
      </c>
      <c r="BD5" s="225" t="str">
        <f>IF($K$40="Español","Cola Prensil",(IF($K$40="Deutsch","Hörner",(IF($K$40="Français","Grande gueule","Extra Arms")))))</f>
        <v>Extra Arms</v>
      </c>
      <c r="BE5" s="224" t="s">
        <v>196</v>
      </c>
    </row>
    <row r="6" spans="1:57" s="219" customFormat="1" ht="22.5" customHeight="1">
      <c r="A6" s="426"/>
      <c r="B6" s="427"/>
      <c r="C6" s="427"/>
      <c r="D6" s="427"/>
      <c r="E6" s="427"/>
      <c r="F6" s="427"/>
      <c r="G6" s="427"/>
      <c r="H6" s="428"/>
      <c r="I6" s="237">
        <f>IFERROR((VLOOKUP(A6,V4:W10,2,FALSE)),0)</f>
        <v>0</v>
      </c>
      <c r="J6" s="258">
        <v>0</v>
      </c>
      <c r="K6" s="237">
        <f>IFERROR((VLOOKUP(J6,AK3:AT7,6,FALSE)),"ILEGAL")</f>
        <v>0</v>
      </c>
      <c r="L6" s="258">
        <v>0</v>
      </c>
      <c r="M6" s="237">
        <f>IFERROR((VLOOKUP(L6,AL3:AT7,6,FALSE)),"ILEGAL")</f>
        <v>0</v>
      </c>
      <c r="N6" s="258">
        <v>0</v>
      </c>
      <c r="O6" s="237">
        <f>IFERROR((VLOOKUP(N6,AM3:AT7,6,FALSE)),"ILEGAL")</f>
        <v>0</v>
      </c>
      <c r="P6" s="258">
        <v>0</v>
      </c>
      <c r="Q6" s="237">
        <f>IFERROR((VLOOKUP(P6,AN3:AT7,6,FALSE)),"ILEGAL")</f>
        <v>0</v>
      </c>
      <c r="R6" s="258">
        <v>0</v>
      </c>
      <c r="S6" s="237">
        <f>IFERROR((VLOOKUP(R6,AO3:AT7,6,FALSE)),"ILEGAL")</f>
        <v>0</v>
      </c>
      <c r="T6" s="434"/>
      <c r="U6" s="235"/>
      <c r="V6" s="227" t="str">
        <f>IF($B$3="Stunty Superstar",C45,(IF($B$3="Legendary Linemen",F45,(IF($B$3="Brutal Blockers",I45,(IF($B$3="Reliable Ringers",L45,(IF($B$3="Bona Fide Big Guy",O45,"")))))))))</f>
        <v/>
      </c>
      <c r="W6" s="228" t="str">
        <f t="shared" si="0"/>
        <v/>
      </c>
      <c r="X6" s="222"/>
      <c r="Y6" s="227" t="s">
        <v>1263</v>
      </c>
      <c r="Z6" s="234">
        <v>5</v>
      </c>
      <c r="AA6" s="234">
        <v>2</v>
      </c>
      <c r="AB6" s="234">
        <v>3</v>
      </c>
      <c r="AC6" s="234">
        <v>4</v>
      </c>
      <c r="AD6" s="234">
        <v>6</v>
      </c>
      <c r="AE6" s="238" t="str">
        <f>IF(((COUNTIF(AE3,"A"))+(COUNTIF(AE3,"B"))+(COUNTIF(AE3,"H"))+(COUNTIF(AE3,"I"))+(COUNTIF(AE3,"M")))=1,"Loner (5+)","Loner (4+)")</f>
        <v>Loner (4+)</v>
      </c>
      <c r="AF6" s="238" t="s">
        <v>266</v>
      </c>
      <c r="AG6" s="238" t="s">
        <v>1266</v>
      </c>
      <c r="AH6" s="238" t="s">
        <v>1267</v>
      </c>
      <c r="AI6" s="228">
        <v>30000</v>
      </c>
      <c r="AK6" s="233">
        <v>-1</v>
      </c>
      <c r="AL6" s="234">
        <v>-1</v>
      </c>
      <c r="AM6" s="234">
        <v>1</v>
      </c>
      <c r="AN6" s="234">
        <v>1</v>
      </c>
      <c r="AO6" s="228">
        <v>-1</v>
      </c>
      <c r="AP6" s="233">
        <v>-10000</v>
      </c>
      <c r="AQ6" s="234">
        <v>-10000</v>
      </c>
      <c r="AR6" s="234">
        <v>-10000</v>
      </c>
      <c r="AS6" s="234">
        <v>-10000</v>
      </c>
      <c r="AT6" s="228">
        <v>-10000</v>
      </c>
      <c r="AV6" s="225" t="str">
        <f>IF(B3="Stunty Superstar",(IF($K$40="Español","Patada",(IF($K$40="Deutsch","Kicken",(IF($K$40="Français","Intrépide","Kick")))))),(IF($J$24="Español","Manos Seguras",(IF($J$24="Deutsch","Brutal (+1)",(IF($J$24="Français","Intrépide","Frenzy")))))))</f>
        <v>Frenzy</v>
      </c>
      <c r="AW6" s="224" t="s">
        <v>192</v>
      </c>
      <c r="AX6" s="225" t="str">
        <f>IF($K$40="Español","Esquivar",(IF($K$40="Deutsch","Gewandt",(IF($K$40="Français","Libération contrôlée","Defensive")))))</f>
        <v>Defensive</v>
      </c>
      <c r="AY6" s="224" t="s">
        <v>193</v>
      </c>
      <c r="AZ6" s="225" t="str">
        <f>IF($K$40="Español","Nervios de Acero",(IF($K$40="Deutsch","Immer am Ball",(IF($K$40="Français","Nerfs d’acier","Fumblerooskie")))))</f>
        <v>Fumblerooskie</v>
      </c>
      <c r="BA6" s="224" t="s">
        <v>195</v>
      </c>
      <c r="BB6" s="225" t="str">
        <f>IF($K$40="Español","Crujir",(IF($K$40="Deutsch","Ramme",(IF($K$40="Français","Clé de bras","Guard")))))</f>
        <v>Guard</v>
      </c>
      <c r="BC6" s="224" t="s">
        <v>194</v>
      </c>
      <c r="BD6" s="225" t="str">
        <f>IF($K$40="Español","Cuernos",(IF($K$40="Deutsch","Klammerschwanz",(IF($K$40="Français","Griffes","Foul Appearance")))))</f>
        <v>Foul Appearance</v>
      </c>
      <c r="BE6" s="224" t="s">
        <v>196</v>
      </c>
    </row>
    <row r="7" spans="1:57" s="219" customFormat="1" ht="22.5" customHeight="1">
      <c r="A7" s="239" t="str">
        <f>IF(Roster!$J$24="Italiano","TIPO",(IF(Roster!$J$24="Español","TIPO",(IF(Roster!$J$24="Deutsch","POSITION",(IF(Roster!$J$24="Français","POSTE","TYPE")))))))</f>
        <v>TYPE</v>
      </c>
      <c r="B7" s="240" t="str">
        <f>IF($J$40="Italiano","AVANZAMENTO 1",(IF($J$40="Español","MEJORA 1",(IF($J$40="Deutsch","VERBES-SERUNG 1",(IF($J$40="Français","AMÉLIORATION 1","UPGRADE 1")))))))</f>
        <v>UPGRADE 1</v>
      </c>
      <c r="C7" s="241" t="str">
        <f>IF(Roster!$J$24="Italiano","COSTO",(IF(Roster!$J$24="Español","PRECIO",(IF(Roster!$J$24="Deutsch","WERT",(IF(Roster!$J$24="Français","VALEUR","COST")))))))</f>
        <v>COST</v>
      </c>
      <c r="D7" s="430" t="str">
        <f>IF($J$40="Italiano","AVANZAMENTO 2",(IF($J$40="Español","MEJORA 2",(IF($J$40="Deutsch","VERBES-SERUNG 2",(IF($J$40="Français","AMÉLIORATION 2","UPGRADE 2")))))))</f>
        <v>UPGRADE 2</v>
      </c>
      <c r="E7" s="431"/>
      <c r="F7" s="241" t="str">
        <f>IF(Roster!$J$24="Italiano","COSTO",(IF(Roster!$J$24="Español","PRECIO",(IF(Roster!$J$24="Deutsch","WERT",(IF(Roster!$J$24="Français","VALEUR","COST")))))))</f>
        <v>COST</v>
      </c>
      <c r="G7" s="430" t="str">
        <f>IF($J$40="Italiano","AVANZAMENTO 3",(IF($J$40="Español","MEJORA 3",(IF($J$40="Deutsch","VERBES-SERUNG 3",(IF($J$40="Français","AMÉLIORATION 3","UPGRADE 3")))))))</f>
        <v>UPGRADE 3</v>
      </c>
      <c r="H7" s="431"/>
      <c r="I7" s="218" t="str">
        <f>IF(Roster!$J$24="Italiano","COSTO",(IF(Roster!$J$24="Español","PRECIO",(IF(Roster!$J$24="Deutsch","WERT",(IF(Roster!$J$24="Français","VALEUR","COST")))))))</f>
        <v>COST</v>
      </c>
      <c r="J7" s="430" t="str">
        <f>IF($J$40="Italiano","AVANZAMENTO 4",(IF($J$40="Español","MEJORA 4",(IF($J$40="Deutsch","VERBES-SERUNG 4",(IF($J$40="Français","AMÉLIORATION 4","UPGRADE 4")))))))</f>
        <v>UPGRADE 4</v>
      </c>
      <c r="K7" s="431"/>
      <c r="L7" s="218" t="str">
        <f>IF(Roster!$J$24="Italiano","COSTO",(IF(Roster!$J$24="Español","PRECIO",(IF(Roster!$J$24="Deutsch","WERT",(IF(Roster!$J$24="Français","VALEUR","COST")))))))</f>
        <v>COST</v>
      </c>
      <c r="M7" s="430" t="str">
        <f>IF($J$40="Italiano","AVANZAMENTO 5",(IF($J$40="Español","MEJORA 5",(IF($J$40="Deutsch","VERBES-SERUNG 5",(IF($J$40="Français","AMÉLIORATION 5","UPGRADE 5")))))))</f>
        <v>UPGRADE 5</v>
      </c>
      <c r="N7" s="431"/>
      <c r="O7" s="218" t="str">
        <f>IF(Roster!$J$24="Italiano","COSTO",(IF(Roster!$J$24="Español","PRECIO",(IF(Roster!$J$24="Deutsch","WERT",(IF(Roster!$J$24="Français","VALEUR","COST")))))))</f>
        <v>COST</v>
      </c>
      <c r="P7" s="430" t="str">
        <f>IF($J$40="Italiano","AVANZAMENTO 6",(IF($J$40="Español","MEJORA 6",(IF($J$40="Deutsch","VERBES-SERUNG 6",(IF($J$40="Français","AMÉLIORATION 6","UPGRADE 6")))))))</f>
        <v>UPGRADE 6</v>
      </c>
      <c r="Q7" s="431"/>
      <c r="R7" s="218" t="str">
        <f>IF(Roster!$J$24="Italiano","COSTO",(IF(Roster!$J$24="Español","PRECIO",(IF(Roster!$J$24="Deutsch","WERT",(IF(Roster!$J$24="Français","VALEUR","COST")))))))</f>
        <v>COST</v>
      </c>
      <c r="S7" s="218" t="s">
        <v>1268</v>
      </c>
      <c r="T7" s="434"/>
      <c r="U7" s="235"/>
      <c r="V7" s="227" t="str">
        <f>IF($B$3="Stunty Superstar",C46,(IF($B$3="Legendary Linemen",F46,(IF($B$3="Brutal Blockers",I46,(IF($B$3="Reliable Ringers",L46,(IF($B$3="Bona Fide Big Guy",O46,"")))))))))</f>
        <v/>
      </c>
      <c r="W7" s="228" t="str">
        <f t="shared" si="0"/>
        <v/>
      </c>
      <c r="X7" s="222"/>
      <c r="Y7" s="227" t="s">
        <v>1269</v>
      </c>
      <c r="Z7" s="234">
        <v>6</v>
      </c>
      <c r="AA7" s="234">
        <v>3</v>
      </c>
      <c r="AB7" s="234">
        <v>3</v>
      </c>
      <c r="AC7" s="234">
        <v>4</v>
      </c>
      <c r="AD7" s="234">
        <v>9</v>
      </c>
      <c r="AE7" s="238" t="str">
        <f>IF(((COUNTIF(AE3,"A"))+(COUNTIF(AE3,"B"))+(COUNTIF(AE3,"H"))+(COUNTIF(AE3,"I"))+(COUNTIF(AE3,"M")))=1,"Loner (5+)","Loner (4+)")</f>
        <v>Loner (4+)</v>
      </c>
      <c r="AF7" s="238" t="str">
        <f>""</f>
        <v/>
      </c>
      <c r="AG7" s="238" t="str">
        <f>""</f>
        <v/>
      </c>
      <c r="AH7" s="238" t="str">
        <f>""</f>
        <v/>
      </c>
      <c r="AI7" s="228">
        <v>50000</v>
      </c>
      <c r="AK7" s="242">
        <v>-2</v>
      </c>
      <c r="AL7" s="243">
        <f>IF(B3="Stunty Superstar",0,-2)</f>
        <v>-2</v>
      </c>
      <c r="AM7" s="243">
        <v>2</v>
      </c>
      <c r="AN7" s="243">
        <v>2</v>
      </c>
      <c r="AO7" s="244">
        <v>-2</v>
      </c>
      <c r="AP7" s="242">
        <v>-20000</v>
      </c>
      <c r="AQ7" s="243">
        <v>-20000</v>
      </c>
      <c r="AR7" s="243">
        <v>-20000</v>
      </c>
      <c r="AS7" s="243">
        <v>-20000</v>
      </c>
      <c r="AT7" s="244">
        <v>-20000</v>
      </c>
      <c r="AV7" s="225" t="str">
        <f>IF(B3="Stunty Superstar",(IF($K$40="Español","Perseguir",(IF($K$40="Deutsch","Manndeckung",(IF($K$40="Français","Lutte","Pro")))))),(IF($J$24="Español","Patada",(IF($J$24="Deutsch","Kicken",(IF($J$24="Français","Joueur Déloyal (+1)","Kick")))))))</f>
        <v>Kick</v>
      </c>
      <c r="AW7" s="224" t="s">
        <v>192</v>
      </c>
      <c r="AX7" s="225" t="str">
        <f>IF($K$40="Español","Furtivo",(IF($K$40="Deutsch","Hechtsprung",(IF($K$40="Français","Réception ","Jump Up")))))</f>
        <v>Jump Up</v>
      </c>
      <c r="AY7" s="224" t="s">
        <v>193</v>
      </c>
      <c r="AZ7" s="225" t="str">
        <f>IF($K$40="Español","Partenubes",(IF($K$40="Deutsch","Kanonier",(IF($K$40="Français","Passe","Hail Mary Pass")))))</f>
        <v>Hail Mary Pass</v>
      </c>
      <c r="BA7" s="224" t="s">
        <v>195</v>
      </c>
      <c r="BB7" s="224" t="str">
        <f>IF($K$40="Español","Defensa",(IF($K$40="Deutsch","Raufbold",(IF($K$40="Français","Crâne épais","Juggernaut")))))</f>
        <v>Juggernaut</v>
      </c>
      <c r="BC7" s="224" t="s">
        <v>194</v>
      </c>
      <c r="BD7" s="225" t="str">
        <f>IF($K$40="Español","Dos Cabezas",(IF($K$40="Deutsch","Klauen",(IF($K$40="Français","Main démesurée","Horns")))))</f>
        <v>Horns</v>
      </c>
      <c r="BE7" s="224" t="s">
        <v>196</v>
      </c>
    </row>
    <row r="8" spans="1:57" s="219" customFormat="1" ht="22.5" customHeight="1">
      <c r="A8" s="245" t="str">
        <f>IF($J$40="Italiano","GENERALE:",(IF($J$40="Français","GÉNÉRALE:","GENERAL:")))</f>
        <v>GENERAL:</v>
      </c>
      <c r="B8" s="258"/>
      <c r="C8" s="237">
        <f>IF(B8&lt;&gt;"",(IF(B3="Legendary Linemen",20000,(IF(B3="Reliable Ringers",30000,(IF(B3="Mercenaries",0,40000)))))),0)</f>
        <v>0</v>
      </c>
      <c r="D8" s="432"/>
      <c r="E8" s="433"/>
      <c r="F8" s="237" t="str">
        <f>IF(B3&lt;&gt;"Legendary Linemen","ILEGAL",(IF(D8&lt;&gt;"",50000,0)))</f>
        <v>ILEGAL</v>
      </c>
      <c r="G8" s="432"/>
      <c r="H8" s="433"/>
      <c r="I8" s="237" t="str">
        <f>IF(B3&lt;&gt;"Legendary Linemen","ILEGAL",(IF(G8&lt;&gt;"",80000,0)))</f>
        <v>ILEGAL</v>
      </c>
      <c r="J8" s="432"/>
      <c r="K8" s="433"/>
      <c r="L8" s="237" t="str">
        <f>IF(B3&lt;&gt;"Legendary Linemen","ILEGAL",(IF(J8&lt;&gt;"",110000,0)))</f>
        <v>ILEGAL</v>
      </c>
      <c r="M8" s="432"/>
      <c r="N8" s="433"/>
      <c r="O8" s="237" t="str">
        <f>IF(B3&lt;&gt;"Legendary Linemen","ILEGAL",(IF(M8&lt;&gt;"",140000,0)))</f>
        <v>ILEGAL</v>
      </c>
      <c r="P8" s="432"/>
      <c r="Q8" s="433"/>
      <c r="R8" s="237" t="str">
        <f>IF(B3&lt;&gt;"Legendary Linemen","ILEGAL",(IF(P8&lt;&gt;"",170000,0)))</f>
        <v>ILEGAL</v>
      </c>
      <c r="S8" s="237">
        <f>SUM(C8,F8,I8,L8,O8,R8)</f>
        <v>0</v>
      </c>
      <c r="T8" s="434"/>
      <c r="U8" s="235"/>
      <c r="V8" s="227" t="str">
        <f>IF($B$3="Stunty Superstar",C47,(IF($B$3="Legendary Linemen",F47,(IF($B$3="Brutal Blockers",I47,(IF($B$3="Reliable Ringers",L47,(IF($B$3="Bona Fide Big Guy",O47,"")))))))))</f>
        <v/>
      </c>
      <c r="W8" s="228" t="str">
        <f t="shared" si="0"/>
        <v/>
      </c>
      <c r="X8" s="222"/>
      <c r="Y8" s="227" t="s">
        <v>1270</v>
      </c>
      <c r="Z8" s="234">
        <v>4</v>
      </c>
      <c r="AA8" s="234">
        <v>4</v>
      </c>
      <c r="AB8" s="234">
        <v>4</v>
      </c>
      <c r="AC8" s="234">
        <v>6</v>
      </c>
      <c r="AD8" s="234">
        <v>9</v>
      </c>
      <c r="AE8" s="238" t="str">
        <f>IF(((COUNTIF(AE3,"A"))+(COUNTIF(AE3,"B"))+(COUNTIF(AE3,"H"))+(COUNTIF(AE3,"I"))+(COUNTIF(AE3,"M")))=1,"Loner (5+)","Loner (4+)")</f>
        <v>Loner (4+)</v>
      </c>
      <c r="AF8" s="238" t="str">
        <f>IF(OR(AE3="H",AE3="M"),"Mighty Blow (+2)","")</f>
        <v/>
      </c>
      <c r="AG8" s="238" t="str">
        <f>""</f>
        <v/>
      </c>
      <c r="AH8" s="238" t="str">
        <f>""</f>
        <v/>
      </c>
      <c r="AI8" s="228">
        <v>70000</v>
      </c>
      <c r="AK8" s="222"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5" t="str">
        <f>IF(B3="Stunty Superstar",(IF($K$40="Español","Placaje Defensivo",(IF($K$40="Deutsch","Profi",(IF($K$40="Français","Parade","Shadowing")))))),(IF($J$24="Español","Perseguir",(IF($J$24="Deutsch","Manndeckung",(IF($J$24="Français","Lutte","Pro")))))))</f>
        <v>Pro</v>
      </c>
      <c r="AW8" s="224" t="s">
        <v>192</v>
      </c>
      <c r="AX8" s="225" t="str">
        <f>IF($K$40="Español","Pies Firmes",(IF($K$40="Deutsch","Heimtückisch",(IF($K$40="Français","Réception plongeante ","Leap")))))</f>
        <v>Leap</v>
      </c>
      <c r="AY8" s="224" t="s">
        <v>193</v>
      </c>
      <c r="AZ8" s="225" t="str">
        <f>IF($K$40="Español","Pasar",(IF($K$40="Deutsch","Nerven aus Stahl",(IF($K$40="Français","Passe assurée","Leader")))))</f>
        <v>Leader</v>
      </c>
      <c r="BA8" s="224" t="s">
        <v>195</v>
      </c>
      <c r="BB8" s="224" t="str">
        <f>IF($K$40="Español","Golpe Mortífero (+1)",(IF($K$40="Deutsch","Schweres Gerät",(IF($K$40="Français","Esquive en force","Mighty Blow (+1)")))))</f>
        <v>Mighty Blow (+1)</v>
      </c>
      <c r="BC8" s="224" t="s">
        <v>194</v>
      </c>
      <c r="BD8" s="224" t="str">
        <f>IF($K$40="Español","Garra / Garras",(IF($K$40="Deutsch","Monströses Maul",(IF($K$40="Français","Queue préhensile","Iron Hard Skin")))))</f>
        <v>Iron Hard Skin</v>
      </c>
      <c r="BE8" s="224" t="s">
        <v>196</v>
      </c>
    </row>
    <row r="9" spans="1:57" s="219" customFormat="1" ht="22.5" customHeight="1">
      <c r="A9" s="245" t="str">
        <f>IF($J$40="Italiano","FORZA:",(IF($J$40="Español","FUERZA:",(IF($J$40="Français","FORCE:","STRENGTH:")))))</f>
        <v>STRENGTH:</v>
      </c>
      <c r="B9" s="258"/>
      <c r="C9" s="237">
        <f>IF(B9&lt;&gt;"",(IF(B3="Stunty Superstar",0,(IF(B3="Reliable Ringers",50000,(IF(B3="Mercenaries",0,30000)))))),0)</f>
        <v>0</v>
      </c>
      <c r="D9" s="432"/>
      <c r="E9" s="433"/>
      <c r="F9" s="237" t="str">
        <f>IF($B$3&lt;&gt;"Brutal Blockers",(IF($B$3&lt;&gt;"Bona Fide Big Guy","ILEGAL",(IF(D9&lt;&gt;"",70000,0)))),(IF(D9&lt;&gt;"",70000,0)))</f>
        <v>ILEGAL</v>
      </c>
      <c r="G9" s="432"/>
      <c r="H9" s="433"/>
      <c r="I9" s="237" t="str">
        <f>IF($B$3&lt;&gt;"Brutal Blockers",(IF($B$3&lt;&gt;"Bona Fide Big Guy","ILEGAL",(IF(G9&lt;&gt;"",110000,0)))),(IF(G9&lt;&gt;"",110000,0)))</f>
        <v>ILEGAL</v>
      </c>
      <c r="J9" s="432"/>
      <c r="K9" s="433"/>
      <c r="L9" s="237" t="str">
        <f>IF($B$3&lt;&gt;"Brutal Blockers",(IF($B$3&lt;&gt;"Bona Fide Big Guy","ILEGAL",(IF(J9&lt;&gt;"",150000,0)))),(IF(J9&lt;&gt;"",150000,0)))</f>
        <v>ILEGAL</v>
      </c>
      <c r="M9" s="432"/>
      <c r="N9" s="433"/>
      <c r="O9" s="237" t="str">
        <f>IF($B$3&lt;&gt;"Brutal Blockers",(IF($B$3&lt;&gt;"Bona Fide Big Guy","ILEGAL",(IF(M9&lt;&gt;"",190000,0)))),(IF(M9&lt;&gt;"",190000,0)))</f>
        <v>ILEGAL</v>
      </c>
      <c r="P9" s="432"/>
      <c r="Q9" s="433"/>
      <c r="R9" s="237" t="str">
        <f>IF($B$3&lt;&gt;"Brutal Blockers",(IF($B$3&lt;&gt;"Bona Fide Big Guy","ILEGAL",(IF(P9&lt;&gt;"",230000,0)))),(IF(P9&lt;&gt;"",230000,0)))</f>
        <v>ILEGAL</v>
      </c>
      <c r="S9" s="237">
        <f t="shared" ref="S9:S12" si="1">SUM(C9,F9,I9,L9,O9,R9)</f>
        <v>0</v>
      </c>
      <c r="T9" s="434"/>
      <c r="V9" s="227" t="str">
        <f>IF($B$3="Stunty Superstar",C48,(IF($B$3="Legendary Linemen",F48,(IF($B$3="Brutal Blockers",I48,(IF($B$3="Reliable Ringers",L48,(IF($B$3="Bona Fide Big Guy",O48,"")))))))))</f>
        <v/>
      </c>
      <c r="W9" s="228" t="str">
        <f t="shared" si="0"/>
        <v/>
      </c>
      <c r="X9" s="222"/>
      <c r="Y9" s="227" t="s">
        <v>1271</v>
      </c>
      <c r="Z9" s="234">
        <v>6</v>
      </c>
      <c r="AA9" s="234">
        <v>3</v>
      </c>
      <c r="AB9" s="234">
        <v>2</v>
      </c>
      <c r="AC9" s="234">
        <v>3</v>
      </c>
      <c r="AD9" s="234">
        <v>8</v>
      </c>
      <c r="AE9" s="238" t="str">
        <f>IF(((COUNTIF(AE3,"A"))+(COUNTIF(AE3,"B"))+(COUNTIF(AE3,"H"))+(COUNTIF(AE3,"I"))+(COUNTIF(AE3,"M")))=1,"Loner (5+)","Loner (4+)")</f>
        <v>Loner (4+)</v>
      </c>
      <c r="AF9" s="238" t="str">
        <f>""</f>
        <v/>
      </c>
      <c r="AG9" s="238" t="str">
        <f>""</f>
        <v/>
      </c>
      <c r="AH9" s="238" t="str">
        <f>""</f>
        <v/>
      </c>
      <c r="AI9" s="228">
        <v>70000</v>
      </c>
      <c r="AV9" s="225" t="str">
        <f>IF(B3="Stunty Superstar",(IF($K$40="Español","Placar",(IF($K$40="Deutsch","Rasend",(IF($K$40="Français","Poursuite","Strip Ball")))))),(IF($J$24="Español","Placaje Defensivo",(IF($J$24="Deutsch","Profi",(IF($J$24="Français","Parade","Shadowing")))))))</f>
        <v>Shadowing</v>
      </c>
      <c r="AW9" s="224" t="s">
        <v>192</v>
      </c>
      <c r="AX9" s="225" t="str">
        <f>IF($K$40="Español","Placaje Heroico",(IF($K$40="Deutsch","Sichere Hände",(IF($K$40="Français","Rétablissement","Safe Pair of Hands")))))</f>
        <v>Safe Pair of Hands</v>
      </c>
      <c r="AY9" s="224" t="s">
        <v>193</v>
      </c>
      <c r="AZ9" s="225" t="str">
        <f>IF($K$40="Español","Pase a la Carrera",(IF($K$40="Deutsch","Scheinpatzer",(IF($K$40="Français","Passe dans la course","Nerves of Steel")))))</f>
        <v>Nerves of Steel</v>
      </c>
      <c r="BA9" s="224" t="s">
        <v>195</v>
      </c>
      <c r="BB9" s="224" t="str">
        <f>IF($K$40="Español","Imparable",(IF($K$40="Deutsch","Standfest",(IF($K$40="Français","Garde","Multiple Blocks")))))</f>
        <v>Multiple Blocks</v>
      </c>
      <c r="BC9" s="224" t="s">
        <v>194</v>
      </c>
      <c r="BD9" s="224" t="str">
        <f>IF($K$40="Español","Mano Grande",(IF($K$40="Deutsch","Sehr lange Beine",(IF($K$40="Français","Peau de fer","Monstrous Mouth")))))</f>
        <v>Monstrous Mouth</v>
      </c>
      <c r="BE9" s="224" t="s">
        <v>196</v>
      </c>
    </row>
    <row r="10" spans="1:57" s="219" customFormat="1" ht="22.5" customHeight="1">
      <c r="A10" s="245" t="str">
        <f>IF($J$40="Italiano","AGILITÀ:",(IF($J$40="Español","AGILIDAD:",(IF($J$40="Deutsch","AGILITÄT:",(IF($J$40="Français","AGILITÉ:","AGILITY:")))))))</f>
        <v>AGILITY:</v>
      </c>
      <c r="B10" s="258"/>
      <c r="C10" s="237">
        <f>IF(B10&lt;&gt;"",(IF(B3="Stunty Superstar",10000,(IF(B3="Brutal Blockers",40000,(IF(OR(B3="Mercenaries",B3="Bona Fide Big Guy"),0,30000)))))),0)</f>
        <v>0</v>
      </c>
      <c r="D10" s="432"/>
      <c r="E10" s="433"/>
      <c r="F10" s="237" t="str">
        <f>IF($B$3&lt;&gt;"Stunty Superstar",(IF($B$3&lt;&gt;"Reliable Ringers","ILEGAL",(IF(D10&lt;&gt;"",70000,0)))),(IF(D10&lt;&gt;"",30000,0)))</f>
        <v>ILEGAL</v>
      </c>
      <c r="G10" s="432"/>
      <c r="H10" s="433"/>
      <c r="I10" s="237" t="str">
        <f>IF($B$3&lt;&gt;"Stunty Superstar",(IF($B$3&lt;&gt;"Reliable Ringers","ILEGAL",(IF(G10&lt;&gt;"",110000,0)))),(IF(G10&lt;&gt;"",50000,0)))</f>
        <v>ILEGAL</v>
      </c>
      <c r="J10" s="432"/>
      <c r="K10" s="433"/>
      <c r="L10" s="237" t="str">
        <f>IF($B$3&lt;&gt;"Stunty Superstar",(IF($B$3&lt;&gt;"Reliable Ringers","ILEGAL",(IF(J10&lt;&gt;"",150000,0)))),(IF(J10&lt;&gt;"",70000,0)))</f>
        <v>ILEGAL</v>
      </c>
      <c r="M10" s="432"/>
      <c r="N10" s="433"/>
      <c r="O10" s="237" t="str">
        <f>IF($B$3&lt;&gt;"Stunty Superstar",(IF($B$3&lt;&gt;"Reliable Ringers","ILEGAL",(IF(M10&lt;&gt;"",190000,0)))),(IF(M10&lt;&gt;"",90000,0)))</f>
        <v>ILEGAL</v>
      </c>
      <c r="P10" s="432"/>
      <c r="Q10" s="433"/>
      <c r="R10" s="237" t="str">
        <f>IF($B$3&lt;&gt;"Stunty Superstar",(IF($B$3&lt;&gt;"Reliable Ringers","ILEGAL",(IF(P10&lt;&gt;"",230000,0)))),(IF(P10&lt;&gt;"",110000,0)))</f>
        <v>ILEGAL</v>
      </c>
      <c r="S10" s="237">
        <f t="shared" si="1"/>
        <v>0</v>
      </c>
      <c r="T10" s="434"/>
      <c r="V10" s="230" t="str">
        <f>IF($B$3="Stunty Superstar",C49,(IF($B$3="Legendary Linemen",F49,(IF($B$3="Brutal Blockers",I49,(IF($B$3="Reliable Ringers",L49,(IF($B$3="Bona Fide Big Guy",O49,"")))))))))</f>
        <v/>
      </c>
      <c r="W10" s="244" t="str">
        <f t="shared" si="0"/>
        <v/>
      </c>
      <c r="X10" s="222"/>
      <c r="Y10" s="230" t="s">
        <v>1272</v>
      </c>
      <c r="Z10" s="243">
        <v>4</v>
      </c>
      <c r="AA10" s="243">
        <v>5</v>
      </c>
      <c r="AB10" s="243">
        <v>4</v>
      </c>
      <c r="AC10" s="243">
        <v>5</v>
      </c>
      <c r="AD10" s="243">
        <v>9</v>
      </c>
      <c r="AE10" s="231" t="str">
        <f>IF(((COUNTIF(AE3,"A"))+(COUNTIF(AE3,"B"))+(COUNTIF(AE3,"H"))+(COUNTIF(AE3,"I"))+(COUNTIF(AE3,"M")))=1,"Loner (5+)","Loner (4+)")</f>
        <v>Loner (4+)</v>
      </c>
      <c r="AF10" s="231" t="str">
        <f>IF(OR(AE3="J",AE3="K",AE3="L",AE3="M",AE3="N"),"","Bone Head")</f>
        <v>Bone Head</v>
      </c>
      <c r="AG10" s="231" t="str">
        <f>IF(OR(AE3="H",AE3="M"),"Mighty Blow (+2)","Mighty Blow (+1)")</f>
        <v>Mighty Blow (+1)</v>
      </c>
      <c r="AH10" s="231" t="str">
        <f>IF(OR(AE3="K",AE3="L"),"","Throw Team Mate")</f>
        <v>Throw Team Mate</v>
      </c>
      <c r="AI10" s="244">
        <v>130000</v>
      </c>
      <c r="AV10" s="225" t="str">
        <f>IF(B3="Stunty Superstar",(IF($K$40="Español","Profesional",(IF($K$40="Deutsch","Tackle",(IF($K$40="Français","Prise sûre","Sure Hands")))))),(IF($J$24="Español","Placar",(IF($J$24="Deutsch","Rasend",(IF($J$24="Français","Poursuite","Strip Ball")))))))</f>
        <v>Strip Ball</v>
      </c>
      <c r="AW10" s="224" t="s">
        <v>192</v>
      </c>
      <c r="AX10" s="225" t="str">
        <f>IF($K$40="Español","Proteger el Cuero",(IF($K$40="Deutsch","Springen",(IF($K$40="Français","Saut","Sidestep")))))</f>
        <v>Sidestep</v>
      </c>
      <c r="AY10" s="224" t="s">
        <v>193</v>
      </c>
      <c r="AZ10" s="225" t="str">
        <f>IF($K$40="Español","Pase a lo Loco",(IF($K$40="Deutsch","Sicherer Pass",(IF($K$40="Français","Passe désespérée","On the Ball")))))</f>
        <v>On the Ball</v>
      </c>
      <c r="BA10" s="224" t="s">
        <v>195</v>
      </c>
      <c r="BB10" s="224" t="str">
        <f>IF($K$40="Español","Llave de Brazo",(IF($K$40="Deutsch","Starker Wurfarm",(IF($K$40="Français","Juggernaut","Pile Diver")))))</f>
        <v>Pile Diver</v>
      </c>
      <c r="BC10" s="224" t="s">
        <v>194</v>
      </c>
      <c r="BD10" s="225" t="str">
        <f>IF($K$40="Español","Piel Ferrea",(IF($K$40="Deutsch","Tentakel",(IF($K$40="Français","Présence perturbante","Prehensile Tail")))))</f>
        <v>Prehensile Tail</v>
      </c>
      <c r="BE10" s="224" t="s">
        <v>196</v>
      </c>
    </row>
    <row r="11" spans="1:57" s="219" customFormat="1" ht="22.5" customHeight="1">
      <c r="A11" s="245" t="str">
        <f>IF($J$40="Español","PASE:",(IF($J$40="Français","PASSER:","PASS:")))</f>
        <v>PASS:</v>
      </c>
      <c r="B11" s="258"/>
      <c r="C11" s="237">
        <f>IF(B11&lt;&gt;"",(IF(B3="Mercenaries",0,(IF(OR(B3="Reliable Ringers",B3="Bona Fide Big Guy"),30000,20000)))),0)</f>
        <v>0</v>
      </c>
      <c r="D11" s="432"/>
      <c r="E11" s="433"/>
      <c r="F11" s="237" t="s">
        <v>1273</v>
      </c>
      <c r="G11" s="432"/>
      <c r="H11" s="433"/>
      <c r="I11" s="237" t="s">
        <v>1273</v>
      </c>
      <c r="J11" s="432"/>
      <c r="K11" s="433"/>
      <c r="L11" s="237" t="s">
        <v>1273</v>
      </c>
      <c r="M11" s="432"/>
      <c r="N11" s="433"/>
      <c r="O11" s="237" t="s">
        <v>1273</v>
      </c>
      <c r="P11" s="432"/>
      <c r="Q11" s="433"/>
      <c r="R11" s="237" t="s">
        <v>1273</v>
      </c>
      <c r="S11" s="237">
        <f t="shared" si="1"/>
        <v>0</v>
      </c>
      <c r="T11" s="434"/>
      <c r="V11" s="222"/>
      <c r="W11" s="222"/>
      <c r="X11" s="222"/>
      <c r="Y11" s="222"/>
      <c r="Z11" s="222"/>
      <c r="AA11" s="222"/>
      <c r="AB11" s="222"/>
      <c r="AC11" s="222"/>
      <c r="AD11" s="222"/>
      <c r="AE11" s="222"/>
      <c r="AF11" s="222"/>
      <c r="AG11" s="222"/>
      <c r="AH11" s="222"/>
      <c r="AI11" s="222"/>
      <c r="AV11" s="225" t="str">
        <f>IF(B3="Stunty Superstar",(IF($K$40="Español","Robar Balón",(IF($K$40="Deutsch","Unerschrocken",(IF($K$40="Français","Pro","Tackle")))))),(IF($J$24="Español","Profesional",(IF($J$24="Deutsch","Tackle",(IF($J$24="Français","Prise sûre","Sure Hands")))))))</f>
        <v>Sure Hands</v>
      </c>
      <c r="AW11" s="224" t="s">
        <v>192</v>
      </c>
      <c r="AX11" s="225" t="str">
        <f>IF($K$40="Español","Recepción Heroica",(IF($K$40="Deutsch","Sprinten",(IF($K$40="Français","Sprint","Sneaky Git")))))</f>
        <v>Sneaky Git</v>
      </c>
      <c r="AY11" s="224" t="s">
        <v>193</v>
      </c>
      <c r="AZ11" s="225" t="str">
        <f>IF($K$40="Español","Pase Precipitado",(IF($K$40="Deutsch","Teamkapitän",(IF($K$40="Français","Perce-nuage","Pass")))))</f>
        <v>Pass</v>
      </c>
      <c r="BA11" s="224" t="s">
        <v>195</v>
      </c>
      <c r="BB11" s="224" t="str">
        <f>IF($K$40="Español","Luchador",(IF($K$40="Deutsch","Tackle durchbrechen",(IF($K$40="Français","Mateau-pilon","Stand Firm")))))</f>
        <v>Stand Firm</v>
      </c>
      <c r="BC11" s="224" t="s">
        <v>194</v>
      </c>
      <c r="BD11" s="225" t="str">
        <f>IF($K$40="Español","Piernas muy Largas",(IF($K$40="Deutsch","Verstörende Präsenz",(IF($K$40="Français","Répulsion","Tentacles")))))</f>
        <v>Tentacles</v>
      </c>
      <c r="BE11" s="224" t="s">
        <v>196</v>
      </c>
    </row>
    <row r="12" spans="1:57" s="219" customFormat="1" ht="22.5" customHeight="1">
      <c r="A12" s="218" t="str">
        <f>IF($J$40="Italiano","MUTAZIONE:",(IF($J$40="Español","MUTACIÓN:","MUTATION:")))</f>
        <v>MUTATION:</v>
      </c>
      <c r="B12" s="258"/>
      <c r="C12" s="237">
        <f>IF(B3="Stunty Superstar","ILEGAL",(IF(B12&lt;&gt;"",(IF(B3="Mercenaries",0,(IF(OR(B3="Brutal Blockers",B3="Bona Fide Big Guy"),40000,IF(B3="Legendary Linemen",30000,(IF(B12="Big Hand",30000,(IF(B12="Extra Arms",20000,(IF(B12="Two Heads",30000,(IF(B12="Very Long Legs",30000,0))))))))))))),0)))</f>
        <v>0</v>
      </c>
      <c r="D12" s="432"/>
      <c r="E12" s="433"/>
      <c r="F12" s="237" t="str">
        <f>IF(OR($B$3="Stunty Superstar",$B$3="Brutal Blockers",$B$3="Bona Fide Big Guy",$B$3="Mercenaries"),"ILEGAL",(IF(D12&lt;&gt;"",(IF($B$3="Legendary Linemen",70000,(IF(D12="Big Hand",30000,(IF(D12="Extra Arms",20000,(IF(D12="Two Heads",30000,(IF(D12="Very Long Legs",30000,"ILEGAL")))))))))),0)))</f>
        <v>ILEGAL</v>
      </c>
      <c r="G12" s="432"/>
      <c r="H12" s="433"/>
      <c r="I12" s="237" t="str">
        <f>IF(OR($B$3="Stunty Superstar",$B$3="Brutal Blockers",$B$3="Bona Fide Big Guy",$B$3="Mercenaries"),"ILEGAL",(IF(G12&lt;&gt;"",(IF($B$3="Legendary Linemen",110000,(IF(G12="Big Hand",30000,(IF(G12="Extra Arms",20000,(IF(G12="Two Heads",30000,(IF(G12="Very Long Legs",30000,0)))))))))),0)))</f>
        <v>ILEGAL</v>
      </c>
      <c r="J12" s="432"/>
      <c r="K12" s="433"/>
      <c r="L12" s="237" t="str">
        <f>IF(OR($B$3="Stunty Superstar",$B$3="Brutal Blockers",$B$3="Bona Fide Big Guy",$B$3="Mercenaries"),"ILEGAL",(IF(J12&lt;&gt;"",(IF($B$3="Legendary Linemen",150000,(IF(J12="Big Hand",30000,(IF(J12="Extra Arms",20000,(IF(J12="Two Heads",30000,(IF(J12="Very Long Legs",30000,0)))))))))),0)))</f>
        <v>ILEGAL</v>
      </c>
      <c r="M12" s="432"/>
      <c r="N12" s="433"/>
      <c r="O12" s="237" t="str">
        <f>IF(B3&lt;&gt;"Legendary Linemen","ILEGAL",(IF(M12&lt;&gt;"",190000,0)))</f>
        <v>ILEGAL</v>
      </c>
      <c r="P12" s="432"/>
      <c r="Q12" s="433"/>
      <c r="R12" s="237" t="str">
        <f>IF(B3&lt;&gt;"Legendary Linemen","ILEGAL",(IF(P12&lt;&gt;"",230000,0)))</f>
        <v>ILEGAL</v>
      </c>
      <c r="S12" s="237">
        <f t="shared" si="1"/>
        <v>0</v>
      </c>
      <c r="T12" s="434"/>
      <c r="V12" s="246" t="s">
        <v>1268</v>
      </c>
      <c r="W12" s="247">
        <f>SUM(Y12:AI12)</f>
        <v>0</v>
      </c>
      <c r="X12" s="247"/>
      <c r="Y12" s="247">
        <f>IF(K6="ILEGAL",0,K6)</f>
        <v>0</v>
      </c>
      <c r="Z12" s="247">
        <f>IF(M6="ILEGAL",0,M6)</f>
        <v>0</v>
      </c>
      <c r="AA12" s="247">
        <f>IF(O6="ILEGAL",0,O6)</f>
        <v>0</v>
      </c>
      <c r="AB12" s="247">
        <f>IF(Q6="ILEGAL",0,Q6)</f>
        <v>0</v>
      </c>
      <c r="AC12" s="247">
        <f>IF(S6="ILEGAL",0,S6)</f>
        <v>0</v>
      </c>
      <c r="AD12" s="247">
        <f>I6</f>
        <v>0</v>
      </c>
      <c r="AE12" s="247">
        <f>S8</f>
        <v>0</v>
      </c>
      <c r="AF12" s="247">
        <f>S9</f>
        <v>0</v>
      </c>
      <c r="AG12" s="247">
        <f>S10</f>
        <v>0</v>
      </c>
      <c r="AH12" s="247">
        <f>S11</f>
        <v>0</v>
      </c>
      <c r="AI12" s="248">
        <f>S12</f>
        <v>0</v>
      </c>
      <c r="AV12" s="225" t="str">
        <f>IF(B3="Stunty Superstar",(IF($K$40="Español","Zafarse",(IF($K$40="Deutsch","Wrestling",(IF($K$40="Français","Tacle","Wrestle")))))),(IF($J$24="Español","Robar Balón",(IF($J$24="Deutsch","Unerschrocken",(IF($J$24="Français","Pro","Tackle")))))))</f>
        <v>Tackle</v>
      </c>
      <c r="AW12" s="224" t="s">
        <v>192</v>
      </c>
      <c r="AX12" s="225" t="str">
        <f>IF($K$40="Español","Romper Defensas",(IF($K$40="Deutsch","Sprintensicher",(IF($K$40="Français","Sournois","Sprint")))))</f>
        <v>Sprint</v>
      </c>
      <c r="AY12" s="224" t="s">
        <v>193</v>
      </c>
      <c r="AZ12" s="225" t="str">
        <f>IF($K$40="Español","Pase Seguro",(IF($K$40="Deutsch","Wurfsicher",(IF($K$40="Français","Précision","Running Pass")))))</f>
        <v>Running Pass</v>
      </c>
      <c r="BA12" s="224" t="s">
        <v>195</v>
      </c>
      <c r="BB12" s="224" t="str">
        <f>IF($K$40="Español","Mantenerse Firme",(IF($K$40="Deutsch","Robust",(IF($K$40="Français","Projection","Strong Arm")))))</f>
        <v>Strong Arm</v>
      </c>
      <c r="BC12" s="224" t="s">
        <v>194</v>
      </c>
      <c r="BD12" s="225" t="str">
        <f>IF($K$40="Español","Presencia Perturbadora",(IF($K$40="Deutsch","Zwei Köpfe",(IF($K$40="Français","Tentacule","Two Heads")))))</f>
        <v>Two Heads</v>
      </c>
      <c r="BE12" s="224" t="s">
        <v>196</v>
      </c>
    </row>
    <row r="13" spans="1:57" s="219" customFormat="1" ht="15" customHeight="1">
      <c r="A13" s="249"/>
      <c r="B13" s="250"/>
      <c r="C13" s="250"/>
      <c r="D13" s="250"/>
      <c r="E13" s="250"/>
      <c r="F13" s="250"/>
      <c r="G13" s="250"/>
      <c r="H13" s="250"/>
      <c r="I13" s="250"/>
      <c r="J13" s="250"/>
      <c r="K13" s="250"/>
      <c r="L13" s="250"/>
      <c r="M13" s="250"/>
      <c r="N13" s="250"/>
      <c r="O13" s="250"/>
      <c r="P13" s="250"/>
      <c r="Q13" s="250"/>
      <c r="R13" s="250"/>
      <c r="S13" s="250"/>
      <c r="T13" s="434"/>
      <c r="V13" s="234"/>
      <c r="W13" s="234"/>
      <c r="X13" s="234"/>
      <c r="Y13" s="234"/>
      <c r="Z13" s="234"/>
      <c r="AA13" s="234"/>
      <c r="AB13" s="234"/>
      <c r="AC13" s="234"/>
      <c r="AD13" s="234"/>
      <c r="AE13" s="234"/>
      <c r="AF13" s="234"/>
      <c r="AG13" s="234"/>
      <c r="AH13" s="234"/>
      <c r="AI13" s="234"/>
      <c r="AV13" s="225" t="str">
        <f>IF(B3="Stunty Superstar","",(IF($J$24="Español","Zafarse",(IF($J$24="Deutsch","Wrestling",(IF($J$24="Français","Tacle","Wrestle")))))))</f>
        <v>Wrestle</v>
      </c>
      <c r="AW13" s="224" t="s">
        <v>192</v>
      </c>
      <c r="AX13" s="225" t="str">
        <f>IF($K$40="Español","Saltar",(IF($K$40="Deutsch","Wehrhaft",(IF($K$40="Français","Tacle plongeant ","Sure Feet")))))</f>
        <v>Sure Feet</v>
      </c>
      <c r="AY13" s="224" t="s">
        <v>193</v>
      </c>
      <c r="AZ13" s="225" t="str">
        <f>IF($K$40="Español","Precisión",(IF($K$40="Deutsch","Zielsicher",(IF($K$40="Français","Sur le ballon","Safe Pass")))))</f>
        <v>Safe Pass</v>
      </c>
      <c r="BA13" s="224" t="s">
        <v>195</v>
      </c>
      <c r="BB13" s="224" t="str">
        <f>IF($K$40="Español","Placaje Múltiple",(IF($K$40="Deutsch","Unterstützen",(IF($K$40="Français","Stabilité","Thick Skull")))))</f>
        <v>Thick Skull</v>
      </c>
      <c r="BC13" s="224" t="s">
        <v>194</v>
      </c>
      <c r="BD13" s="225" t="str">
        <f>IF($K$40="Español","Tentáculos",(IF($K$40="Deutsch","Zusätzliche Arme",(IF($K$40="Français","Très longues jambes","Very Long Legs")))))</f>
        <v>Very Long Legs</v>
      </c>
      <c r="BE13" s="224" t="s">
        <v>196</v>
      </c>
    </row>
    <row r="14" spans="1:57" ht="21.75" customHeight="1">
      <c r="A14" s="419" t="str">
        <f>IF(Roster!$J$24="Italiano","MERCENARIO 2",(IF(Roster!$J$24="Español","MERCENARIO 2",(IF(Roster!$J$24="Français","MERCENAIRE 2","MERCENARY 2")))))</f>
        <v>MERCENARY 2</v>
      </c>
      <c r="B14" s="419"/>
      <c r="C14" s="419"/>
      <c r="D14" s="419"/>
      <c r="E14" s="419"/>
      <c r="F14" s="419"/>
      <c r="G14" s="419"/>
      <c r="H14" s="419"/>
      <c r="I14" s="419"/>
      <c r="J14" s="419"/>
      <c r="K14" s="419"/>
      <c r="L14" s="419"/>
      <c r="M14" s="419"/>
      <c r="N14" s="419"/>
      <c r="O14" s="419"/>
      <c r="P14" s="419"/>
      <c r="Q14" s="419"/>
      <c r="R14" s="419"/>
      <c r="S14" s="419"/>
      <c r="T14" s="434"/>
    </row>
    <row r="15" spans="1:57" s="219" customFormat="1" ht="22.5" customHeight="1">
      <c r="A15" s="218" t="str">
        <f>IF(Roster!$J$24="Italiano","MERCENARIO 2",(IF(Roster!$J$24="Español","MERCENARIO 2",(IF(Roster!$J$24="Français","MERCENAIRE 2","MERCENARY 2")))))</f>
        <v>MERCENARY 2</v>
      </c>
      <c r="B15" s="218" t="str">
        <f>IF(Roster!$J$24="Italiano","TIPO",(IF(Roster!$J$24="Español","TIPO",(IF(Roster!$J$24="Deutsch","POSITION",(IF(Roster!$J$24="Français","POSTE","TYPE")))))))</f>
        <v>TYPE</v>
      </c>
      <c r="C15" s="218" t="str">
        <f>IF(Roster!$J$24="Español","MO",(IF(Roster!$J$24="Deutsch","BE",(IF(Roster!$J$24="Français","M","MA")))))</f>
        <v>MA</v>
      </c>
      <c r="D15" s="218" t="str">
        <f>IF(Roster!$J$24="Español","FU",(IF(Roster!$J$24="Français","F","ST")))</f>
        <v>ST</v>
      </c>
      <c r="E15" s="218" t="str">
        <f>IF(Roster!$J$24="Deutsch","GE","AG")</f>
        <v>AG</v>
      </c>
      <c r="F15" s="218" t="str">
        <f>IF(Roster!$J$24="Deutsch","WG",(IF(Roster!$J$24="Français","CP","PA")))</f>
        <v>PA</v>
      </c>
      <c r="G15" s="218" t="str">
        <f>IF(Roster!$J$24="Español","AR",(IF(Roster!$J$24="Deutsch","RW",(IF(Roster!$J$24="Français","AR","AV")))))</f>
        <v>AV</v>
      </c>
      <c r="H15" s="420" t="str">
        <f>IF(Roster!$J$24="Italiano","ABILITÀ",(IF(Roster!$J$24="Español","HABILIDADES",(IF(Roster!$J$24="Deutsch","FERTIGKEITEN",(IF(Roster!$J$24="Français","COMPÉTENCES","SKILLS")))))))</f>
        <v>SKILLS</v>
      </c>
      <c r="I15" s="421"/>
      <c r="J15" s="421"/>
      <c r="K15" s="421"/>
      <c r="L15" s="421"/>
      <c r="M15" s="421"/>
      <c r="N15" s="421"/>
      <c r="O15" s="421"/>
      <c r="P15" s="421"/>
      <c r="Q15" s="421"/>
      <c r="R15" s="422"/>
      <c r="S15" s="218" t="str">
        <f>IF(Roster!$J$24="Italiano","COSTO",(IF(Roster!$J$24="Español","PRECIO",(IF(Roster!$J$24="Deutsch","WERT",(IF(Roster!$J$24="Français","VALEUR","COST")))))))</f>
        <v>COST</v>
      </c>
      <c r="T15" s="434"/>
      <c r="V15" s="220" t="s">
        <v>255</v>
      </c>
      <c r="W15" s="221" t="s">
        <v>202</v>
      </c>
      <c r="X15" s="222"/>
      <c r="Y15" s="220" t="s">
        <v>1259</v>
      </c>
      <c r="Z15" s="223"/>
      <c r="AA15" s="223"/>
      <c r="AB15" s="221"/>
      <c r="AC15" s="222"/>
      <c r="AD15" s="222"/>
      <c r="AE15" s="222"/>
      <c r="AF15" s="220" t="s">
        <v>1260</v>
      </c>
      <c r="AG15" s="223"/>
      <c r="AH15" s="223"/>
      <c r="AI15" s="221"/>
      <c r="AK15" s="435" t="s">
        <v>1261</v>
      </c>
      <c r="AL15" s="436"/>
      <c r="AM15" s="436"/>
      <c r="AN15" s="436"/>
      <c r="AO15" s="437"/>
      <c r="AP15" s="435" t="s">
        <v>1262</v>
      </c>
      <c r="AQ15" s="436"/>
      <c r="AR15" s="436"/>
      <c r="AS15" s="436"/>
      <c r="AT15" s="437"/>
      <c r="AV15" s="224"/>
    </row>
    <row r="16" spans="1:57" s="219" customFormat="1" ht="30" customHeight="1">
      <c r="A16" s="258"/>
      <c r="B16" s="258" t="s">
        <v>1265</v>
      </c>
      <c r="C16" s="226" t="str">
        <f>IF((VLOOKUP(B16,Y18:AD23,2,FALSE))+J19+(IF(AE16="G",-2,0))+(IF(OR(AE16="O",AE16="N"),-1,0))=0,"",(VLOOKUP(B16,Y18:AD23,2,FALSE))+J19+(IF(AE16="G",-2,0))+(IF(OR(AE16="O",AE16="N"),-1,0)))</f>
        <v/>
      </c>
      <c r="D16" s="226" t="str">
        <f>IF((VLOOKUP(B16,Y18:AD23,3,FALSE))+L19+(IF(AE16="G",3,0))+(IF(OR(AE16="O",AE16="N"),2,0))=0,"",(VLOOKUP(B16,Y18:AD23,3,FALSE))+L19+(IF(AE16="G",3,0))+(IF(OR(AE16="O",AE16="N"),2,0)))</f>
        <v/>
      </c>
      <c r="E16" s="226" t="str">
        <f>IF((VLOOKUP(B16,Y18:AD23,4,FALSE)+N19+(IF(AE16="J",1,0)))=0,"",(VLOOKUP(B16,Y18:AD23,4,FALSE)+N19+(IF(AE16="J",1,0))&amp;"+"))</f>
        <v/>
      </c>
      <c r="F16" s="226" t="str">
        <f>IF((VLOOKUP(B16,Y18:AD23,5,FALSE)+P19)=0,"",(VLOOKUP(B16,Y18:AD23,5,FALSE)+P19&amp;"+"))</f>
        <v/>
      </c>
      <c r="G16" s="226" t="str">
        <f>IF((VLOOKUP(B16,Y18:AD23,6,FALSE)+R19)=0,"",(VLOOKUP(B16,Y18:AD23,6,FALSE)+R19&amp;"+"))</f>
        <v/>
      </c>
      <c r="H16" s="423" t="str">
        <f>Y16&amp;(IF(Z16&lt;&gt;"",", ",""))&amp;Z16&amp;(IF(AA16&lt;&gt;"",", ",""))&amp;AA16&amp;(IF(AB16&lt;&gt;"",", ",""))&amp;AB16&amp;(IF(AF16&lt;&gt;"",", ",""))&amp;AF16&amp;(IF(AG16&lt;&gt;"",", ",""))&amp;AG16&amp;(IF(AH16&lt;&gt;"",", ",""))&amp;AH16&amp;(IF(AI16&lt;&gt;"",", ",""))&amp;AI16&amp;AK21</f>
        <v/>
      </c>
      <c r="I16" s="424"/>
      <c r="J16" s="424"/>
      <c r="K16" s="424"/>
      <c r="L16" s="424"/>
      <c r="M16" s="424"/>
      <c r="N16" s="424"/>
      <c r="O16" s="424"/>
      <c r="P16" s="424"/>
      <c r="Q16" s="424"/>
      <c r="R16" s="425"/>
      <c r="S16" s="226">
        <f>(VLOOKUP(B16,Y18:AI23,11,FALSE))+W25</f>
        <v>0</v>
      </c>
      <c r="T16" s="434"/>
      <c r="V16" s="227"/>
      <c r="W16" s="228">
        <v>0</v>
      </c>
      <c r="X16" s="229"/>
      <c r="Y16" s="230" t="str">
        <f>VLOOKUP(B16,Y18:AH23,7,FALSE)</f>
        <v/>
      </c>
      <c r="Z16" s="231" t="str">
        <f>VLOOKUP(B16,Y18:AH23,8,FALSE)</f>
        <v/>
      </c>
      <c r="AA16" s="231" t="str">
        <f>VLOOKUP(B16,Y18:AH23,9,FALSE)</f>
        <v/>
      </c>
      <c r="AB16" s="232" t="str">
        <f>VLOOKUP(B16,Y18:AH23,10,FALSE)</f>
        <v/>
      </c>
      <c r="AC16" s="222"/>
      <c r="AD16" s="222"/>
      <c r="AE16" s="222" t="str">
        <f>IFERROR((VLOOKUP(A19,R41:W55,2,FALSE)),"")</f>
        <v/>
      </c>
      <c r="AF16" s="230" t="str">
        <f>IFERROR((VLOOKUP(A19,R41:W55,3,FALSE)),"")</f>
        <v/>
      </c>
      <c r="AG16" s="231" t="str">
        <f>IFERROR((VLOOKUP(A19,R41:W55,4,FALSE)),"")</f>
        <v/>
      </c>
      <c r="AH16" s="231" t="str">
        <f>IFERROR((VLOOKUP(A19,R41:W55,5,FALSE)),"")</f>
        <v/>
      </c>
      <c r="AI16" s="232" t="str">
        <f>IFERROR((VLOOKUP(A19,R41:W55,6,FALSE)),"")</f>
        <v/>
      </c>
      <c r="AK16" s="233">
        <v>0</v>
      </c>
      <c r="AL16" s="234">
        <v>0</v>
      </c>
      <c r="AM16" s="234">
        <v>0</v>
      </c>
      <c r="AN16" s="234">
        <v>0</v>
      </c>
      <c r="AO16" s="228">
        <v>0</v>
      </c>
      <c r="AP16" s="233">
        <v>0</v>
      </c>
      <c r="AQ16" s="234">
        <v>0</v>
      </c>
      <c r="AR16" s="234">
        <v>0</v>
      </c>
      <c r="AS16" s="234">
        <v>0</v>
      </c>
      <c r="AT16" s="228">
        <v>0</v>
      </c>
      <c r="AV16" s="251"/>
    </row>
    <row r="17" spans="1:48" s="219" customFormat="1" ht="22.5" customHeight="1">
      <c r="A17" s="429" t="str">
        <f>IF(AR3="Italiano","AVANZAMIENTO GIOCATORI",(IF(AR3="Español","MEJORAS DEL JUGADORE",(IF(AR3="Deutsch","SPIELERVERBESSERUNGEN",(IF(AR3="Français","AMÉLIORATIONS DE JOUEUR","PLAYER UPGRADES")))))))</f>
        <v>PLAYER UPGRADES</v>
      </c>
      <c r="B17" s="429"/>
      <c r="C17" s="429"/>
      <c r="D17" s="429"/>
      <c r="E17" s="429"/>
      <c r="F17" s="429"/>
      <c r="G17" s="429"/>
      <c r="H17" s="429"/>
      <c r="I17" s="429"/>
      <c r="J17" s="429"/>
      <c r="K17" s="429"/>
      <c r="L17" s="429"/>
      <c r="M17" s="429"/>
      <c r="N17" s="429"/>
      <c r="O17" s="429"/>
      <c r="P17" s="429"/>
      <c r="Q17" s="429"/>
      <c r="R17" s="429"/>
      <c r="S17" s="429"/>
      <c r="T17" s="434"/>
      <c r="V17" s="227" t="str">
        <f t="shared" ref="V17:W23" si="2">IF($B$16="Stunty Superstar",C43,(IF($B$16="Legendary Linemen",F43,(IF($B$16="Brutal Blockers",I43,(IF($B$16="Reliable Ringers",L43,(IF($B$16="Bona Fide Big Guy",O43,"")))))))))</f>
        <v/>
      </c>
      <c r="W17" s="228" t="str">
        <f t="shared" si="2"/>
        <v/>
      </c>
      <c r="X17" s="222"/>
      <c r="Y17" s="222"/>
      <c r="Z17" s="222"/>
      <c r="AA17" s="222"/>
      <c r="AB17" s="222"/>
      <c r="AC17" s="222"/>
      <c r="AD17" s="222"/>
      <c r="AE17" s="222"/>
      <c r="AF17" s="222"/>
      <c r="AG17" s="222"/>
      <c r="AH17" s="222"/>
      <c r="AI17" s="222"/>
      <c r="AK17" s="233">
        <v>1</v>
      </c>
      <c r="AL17" s="234">
        <v>0</v>
      </c>
      <c r="AM17" s="234">
        <f>IF(B16="Legendary Linemen",0,-1)</f>
        <v>-1</v>
      </c>
      <c r="AN17" s="234">
        <f>IF(B16="Brutal Blockers",0,-1)</f>
        <v>-1</v>
      </c>
      <c r="AO17" s="228">
        <v>1</v>
      </c>
      <c r="AP17" s="233">
        <f>IF(OR(B16="Legendary Linemen",B16="Bona Fide Big Guy"),20000,30000)</f>
        <v>30000</v>
      </c>
      <c r="AQ17" s="234">
        <v>0</v>
      </c>
      <c r="AR17" s="234">
        <f>IF(OR(B16="Stunty Superstar",B16="Bona Fide Big Guy"),40000,(IF(B16="Legendary Linemen",0,50000)))</f>
        <v>50000</v>
      </c>
      <c r="AS17" s="234">
        <f>IF(B16="Brutal Blockers",0,30000)</f>
        <v>30000</v>
      </c>
      <c r="AT17" s="228">
        <f>IF(B16="Stunty Superstar",30000,(IF(B16="Reliable Ringers",40000,20000)))</f>
        <v>20000</v>
      </c>
      <c r="AV17" s="251"/>
    </row>
    <row r="18" spans="1:48" s="219" customFormat="1" ht="22.5" customHeight="1">
      <c r="A18" s="420" t="s">
        <v>1264</v>
      </c>
      <c r="B18" s="421"/>
      <c r="C18" s="421"/>
      <c r="D18" s="421"/>
      <c r="E18" s="421"/>
      <c r="F18" s="421"/>
      <c r="G18" s="421"/>
      <c r="H18" s="422"/>
      <c r="I18" s="218" t="str">
        <f>IF(Roster!$J$24="Italiano","COSTO",(IF(Roster!$J$24="Español","PRECIO",(IF(Roster!$J$24="Deutsch","WERT",(IF(Roster!$J$24="Français","VALEUR","COST")))))))</f>
        <v>COST</v>
      </c>
      <c r="J18" s="218" t="str">
        <f>IF(Roster!$J$24="Español","MO",(IF(Roster!$J$24="Deutsch","BE",(IF(Roster!$J$24="Français","M","MA")))))</f>
        <v>MA</v>
      </c>
      <c r="K18" s="218" t="str">
        <f>IF(Roster!$J$24="Italiano","COSTO",(IF(Roster!$J$24="Español","PRECIO",(IF(Roster!$J$24="Deutsch","WERT",(IF(Roster!$J$24="Français","VALEUR","COST")))))))</f>
        <v>COST</v>
      </c>
      <c r="L18" s="218" t="str">
        <f>IF(Roster!$J$24="Español","FU",(IF(Roster!$J$24="Français","F","ST")))</f>
        <v>ST</v>
      </c>
      <c r="M18" s="218" t="str">
        <f>IF(Roster!$J$24="Italiano","COSTO",(IF(Roster!$J$24="Español","PRECIO",(IF(Roster!$J$24="Deutsch","WERT",(IF(Roster!$J$24="Français","VALEUR","COST")))))))</f>
        <v>COST</v>
      </c>
      <c r="N18" s="218" t="str">
        <f>IF(Roster!$J$24="Deutsch","GE","AG")</f>
        <v>AG</v>
      </c>
      <c r="O18" s="218" t="str">
        <f>IF(Roster!$J$24="Italiano","COSTO",(IF(Roster!$J$24="Español","PRECIO",(IF(Roster!$J$24="Deutsch","WERT",(IF(Roster!$J$24="Français","VALEUR","COST")))))))</f>
        <v>COST</v>
      </c>
      <c r="P18" s="218" t="str">
        <f>IF(Roster!$J$24="Deutsch","WG",(IF(Roster!$J$24="Français","CP","PA")))</f>
        <v>PA</v>
      </c>
      <c r="Q18" s="218" t="str">
        <f>IF(Roster!$J$24="Italiano","COSTO",(IF(Roster!$J$24="Español","PRECIO",(IF(Roster!$J$24="Deutsch","WERT",(IF(Roster!$J$24="Français","VALEUR","COST")))))))</f>
        <v>COST</v>
      </c>
      <c r="R18" s="218" t="str">
        <f>IF(Roster!$J$24="Español","AR",(IF(Roster!$J$24="Deutsch","RW",(IF(Roster!$J$24="Français","AR","AV")))))</f>
        <v>AV</v>
      </c>
      <c r="S18" s="218" t="str">
        <f>IF(Roster!$J$24="Italiano","COSTO",(IF(Roster!$J$24="Español","PRECIO",(IF(Roster!$J$24="Deutsch","WERT",(IF(Roster!$J$24="Français","VALEUR","COST")))))))</f>
        <v>COST</v>
      </c>
      <c r="T18" s="434"/>
      <c r="U18" s="252"/>
      <c r="V18" s="227" t="str">
        <f t="shared" si="2"/>
        <v/>
      </c>
      <c r="W18" s="228" t="str">
        <f t="shared" si="2"/>
        <v/>
      </c>
      <c r="X18" s="222"/>
      <c r="Y18" s="220" t="s">
        <v>1265</v>
      </c>
      <c r="Z18" s="236">
        <v>0</v>
      </c>
      <c r="AA18" s="236">
        <v>0</v>
      </c>
      <c r="AB18" s="236">
        <v>0</v>
      </c>
      <c r="AC18" s="236">
        <v>0</v>
      </c>
      <c r="AD18" s="236">
        <v>0</v>
      </c>
      <c r="AE18" s="223" t="str">
        <f>""</f>
        <v/>
      </c>
      <c r="AF18" s="223" t="str">
        <f>""</f>
        <v/>
      </c>
      <c r="AG18" s="223" t="str">
        <f>""</f>
        <v/>
      </c>
      <c r="AH18" s="223" t="str">
        <f>""</f>
        <v/>
      </c>
      <c r="AI18" s="266">
        <v>0</v>
      </c>
      <c r="AK18" s="233">
        <v>2</v>
      </c>
      <c r="AL18" s="234">
        <v>0</v>
      </c>
      <c r="AM18" s="234">
        <f>IF(B16="Legendary Linemen",0,-2)</f>
        <v>-2</v>
      </c>
      <c r="AN18" s="234">
        <f>IF(B16="Brutal Blockers",0,-2)</f>
        <v>-2</v>
      </c>
      <c r="AO18" s="228">
        <v>2</v>
      </c>
      <c r="AP18" s="233">
        <f>IF(OR(B16="Stunty Superstar",B16="Reliable Ringers"),48000,(IF(B16="Legendary Linemen",40000,50000)))</f>
        <v>50000</v>
      </c>
      <c r="AQ18" s="234">
        <v>0</v>
      </c>
      <c r="AR18" s="234">
        <f>IF(OR(B16="Stunty Superstar",B16="Bona Fide Big Guy"),80000,(IF(B16="Legendary Linemen",0,100000)))</f>
        <v>100000</v>
      </c>
      <c r="AS18" s="234">
        <f>IF(B16="Brutal Blockers",0,70000)</f>
        <v>70000</v>
      </c>
      <c r="AT18" s="228">
        <f>IF(B16="Stunty Superstar",48000,(IF(B16="Reliable Ringers",80000,40000)))</f>
        <v>40000</v>
      </c>
      <c r="AV18" s="251"/>
    </row>
    <row r="19" spans="1:48" s="219" customFormat="1" ht="22.5" customHeight="1">
      <c r="A19" s="426"/>
      <c r="B19" s="427"/>
      <c r="C19" s="427"/>
      <c r="D19" s="427"/>
      <c r="E19" s="427"/>
      <c r="F19" s="427"/>
      <c r="G19" s="427"/>
      <c r="H19" s="428"/>
      <c r="I19" s="237">
        <f>IFERROR((VLOOKUP(A19,V17:W23,2,FALSE)),0)</f>
        <v>0</v>
      </c>
      <c r="J19" s="258">
        <v>0</v>
      </c>
      <c r="K19" s="237">
        <f>IFERROR((VLOOKUP(J19,AK16:AT20,6,FALSE)),"ILEGAL")</f>
        <v>0</v>
      </c>
      <c r="L19" s="258">
        <v>0</v>
      </c>
      <c r="M19" s="237">
        <f>IFERROR((VLOOKUP(L19,AL16:AT20,6,FALSE)),"ILEGAL")</f>
        <v>0</v>
      </c>
      <c r="N19" s="258">
        <v>0</v>
      </c>
      <c r="O19" s="237">
        <f>IFERROR((VLOOKUP(N19,AM16:AT20,6,FALSE)),"ILEGAL")</f>
        <v>0</v>
      </c>
      <c r="P19" s="258">
        <v>0</v>
      </c>
      <c r="Q19" s="237">
        <f>IFERROR((VLOOKUP(P19,AN16:AT20,6,FALSE)),"ILEGAL")</f>
        <v>0</v>
      </c>
      <c r="R19" s="258">
        <v>0</v>
      </c>
      <c r="S19" s="237">
        <f>IFERROR((VLOOKUP(R19,AO16:AT20,6,FALSE)),"ILEGAL")</f>
        <v>0</v>
      </c>
      <c r="T19" s="434"/>
      <c r="V19" s="227" t="str">
        <f t="shared" si="2"/>
        <v/>
      </c>
      <c r="W19" s="228" t="str">
        <f t="shared" si="2"/>
        <v/>
      </c>
      <c r="X19" s="222"/>
      <c r="Y19" s="227" t="s">
        <v>1263</v>
      </c>
      <c r="Z19" s="234">
        <v>5</v>
      </c>
      <c r="AA19" s="234">
        <v>2</v>
      </c>
      <c r="AB19" s="234">
        <v>3</v>
      </c>
      <c r="AC19" s="234">
        <v>4</v>
      </c>
      <c r="AD19" s="234">
        <v>6</v>
      </c>
      <c r="AE19" s="238" t="str">
        <f>IF(((COUNTIF(AE16,"A"))+(COUNTIF(AE16,"B"))+(COUNTIF(AE16,"H"))+(COUNTIF(AE16,"I"))+(COUNTIF(AE16,"M")))=1,"Loner (5+)","Loner (4+)")</f>
        <v>Loner (4+)</v>
      </c>
      <c r="AF19" s="238" t="s">
        <v>266</v>
      </c>
      <c r="AG19" s="238" t="s">
        <v>1266</v>
      </c>
      <c r="AH19" s="238" t="s">
        <v>1267</v>
      </c>
      <c r="AI19" s="228">
        <v>30000</v>
      </c>
      <c r="AK19" s="233">
        <v>-1</v>
      </c>
      <c r="AL19" s="234">
        <v>-1</v>
      </c>
      <c r="AM19" s="234">
        <v>1</v>
      </c>
      <c r="AN19" s="234">
        <v>1</v>
      </c>
      <c r="AO19" s="228">
        <v>-1</v>
      </c>
      <c r="AP19" s="233">
        <v>-10000</v>
      </c>
      <c r="AQ19" s="234">
        <v>-10000</v>
      </c>
      <c r="AR19" s="234">
        <v>-10000</v>
      </c>
      <c r="AS19" s="234">
        <v>-10000</v>
      </c>
      <c r="AT19" s="228">
        <v>-10000</v>
      </c>
      <c r="AV19" s="251"/>
    </row>
    <row r="20" spans="1:48" s="219" customFormat="1" ht="22.5" customHeight="1">
      <c r="A20" s="239" t="str">
        <f>IF(Roster!$J$24="Italiano","TIPO",(IF(Roster!$J$24="Español","TIPO",(IF(Roster!$J$24="Deutsch","POSITION",(IF(Roster!$J$24="Français","POSTE","TYPE")))))))</f>
        <v>TYPE</v>
      </c>
      <c r="B20" s="240" t="str">
        <f>IF($J$40="Italiano","AVANZAMENTO 1",(IF($J$40="Español","MEJORA 1",(IF($J$40="Deutsch","VERBES-SERUNG 1",(IF($J$40="Français","AMÉLIORATION 1","UPGRADE 1")))))))</f>
        <v>UPGRADE 1</v>
      </c>
      <c r="C20" s="241" t="str">
        <f>IF(Roster!$J$24="Italiano","COSTO",(IF(Roster!$J$24="Español","PRECIO",(IF(Roster!$J$24="Deutsch","WERT",(IF(Roster!$J$24="Français","VALEUR","COST")))))))</f>
        <v>COST</v>
      </c>
      <c r="D20" s="430" t="str">
        <f>IF($J$40="Italiano","AVANZAMENTO 2",(IF($J$40="Español","MEJORA 2",(IF($J$40="Deutsch","VERBES-SERUNG 2",(IF($J$40="Français","AMÉLIORATION 2","UPGRADE 2")))))))</f>
        <v>UPGRADE 2</v>
      </c>
      <c r="E20" s="431"/>
      <c r="F20" s="241" t="str">
        <f>IF(Roster!$J$24="Italiano","COSTO",(IF(Roster!$J$24="Español","PRECIO",(IF(Roster!$J$24="Deutsch","WERT",(IF(Roster!$J$24="Français","VALEUR","COST")))))))</f>
        <v>COST</v>
      </c>
      <c r="G20" s="430" t="str">
        <f>IF($J$40="Italiano","AVANZAMENTO 3",(IF($J$40="Español","MEJORA 3",(IF($J$40="Deutsch","VERBES-SERUNG 3",(IF($J$40="Français","AMÉLIORATION 3","UPGRADE 3")))))))</f>
        <v>UPGRADE 3</v>
      </c>
      <c r="H20" s="431"/>
      <c r="I20" s="218" t="str">
        <f>IF(Roster!$J$24="Italiano","COSTO",(IF(Roster!$J$24="Español","PRECIO",(IF(Roster!$J$24="Deutsch","WERT",(IF(Roster!$J$24="Français","VALEUR","COST")))))))</f>
        <v>COST</v>
      </c>
      <c r="J20" s="430" t="str">
        <f>IF($J$40="Italiano","AVANZAMENTO 4",(IF($J$40="Español","MEJORA 4",(IF($J$40="Deutsch","VERBES-SERUNG 4",(IF($J$40="Français","AMÉLIORATION 4","UPGRADE 4")))))))</f>
        <v>UPGRADE 4</v>
      </c>
      <c r="K20" s="431"/>
      <c r="L20" s="218" t="str">
        <f>IF(Roster!$J$24="Italiano","COSTO",(IF(Roster!$J$24="Español","PRECIO",(IF(Roster!$J$24="Deutsch","WERT",(IF(Roster!$J$24="Français","VALEUR","COST")))))))</f>
        <v>COST</v>
      </c>
      <c r="M20" s="430" t="str">
        <f>IF($J$40="Italiano","AVANZAMENTO 5",(IF($J$40="Español","MEJORA 5",(IF($J$40="Deutsch","VERBES-SERUNG 5",(IF($J$40="Français","AMÉLIORATION 5","UPGRADE 5")))))))</f>
        <v>UPGRADE 5</v>
      </c>
      <c r="N20" s="431"/>
      <c r="O20" s="218" t="str">
        <f>IF(Roster!$J$24="Italiano","COSTO",(IF(Roster!$J$24="Español","PRECIO",(IF(Roster!$J$24="Deutsch","WERT",(IF(Roster!$J$24="Français","VALEUR","COST")))))))</f>
        <v>COST</v>
      </c>
      <c r="P20" s="430" t="str">
        <f>IF($J$40="Italiano","AVANZAMENTO 6",(IF($J$40="Español","MEJORA 6",(IF($J$40="Deutsch","VERBES-SERUNG 6",(IF($J$40="Français","AMÉLIORATION 6","UPGRADE 6")))))))</f>
        <v>UPGRADE 6</v>
      </c>
      <c r="Q20" s="431"/>
      <c r="R20" s="218" t="str">
        <f>IF(Roster!$J$24="Italiano","COSTO",(IF(Roster!$J$24="Español","PRECIO",(IF(Roster!$J$24="Deutsch","WERT",(IF(Roster!$J$24="Français","VALEUR","COST")))))))</f>
        <v>COST</v>
      </c>
      <c r="S20" s="218" t="s">
        <v>1268</v>
      </c>
      <c r="T20" s="434"/>
      <c r="V20" s="227" t="str">
        <f t="shared" si="2"/>
        <v/>
      </c>
      <c r="W20" s="228" t="str">
        <f t="shared" si="2"/>
        <v/>
      </c>
      <c r="X20" s="222"/>
      <c r="Y20" s="227" t="s">
        <v>1269</v>
      </c>
      <c r="Z20" s="234">
        <v>6</v>
      </c>
      <c r="AA20" s="234">
        <v>3</v>
      </c>
      <c r="AB20" s="234">
        <v>3</v>
      </c>
      <c r="AC20" s="234">
        <v>4</v>
      </c>
      <c r="AD20" s="234">
        <v>9</v>
      </c>
      <c r="AE20" s="238" t="str">
        <f>IF(((COUNTIF(AE16,"A"))+(COUNTIF(AE16,"B"))+(COUNTIF(AE16,"H"))+(COUNTIF(AE16,"I"))+(COUNTIF(AE16,"M")))=1,"Loner (5+)","Loner (4+)")</f>
        <v>Loner (4+)</v>
      </c>
      <c r="AF20" s="238" t="str">
        <f>""</f>
        <v/>
      </c>
      <c r="AG20" s="238" t="str">
        <f>""</f>
        <v/>
      </c>
      <c r="AH20" s="238" t="str">
        <f>""</f>
        <v/>
      </c>
      <c r="AI20" s="228">
        <v>50000</v>
      </c>
      <c r="AK20" s="242">
        <v>-2</v>
      </c>
      <c r="AL20" s="243">
        <f>IF(B16="Stunty Superstar",0,-2)</f>
        <v>-2</v>
      </c>
      <c r="AM20" s="243">
        <v>2</v>
      </c>
      <c r="AN20" s="243">
        <v>2</v>
      </c>
      <c r="AO20" s="244">
        <v>-2</v>
      </c>
      <c r="AP20" s="242">
        <v>-20000</v>
      </c>
      <c r="AQ20" s="243">
        <v>-20000</v>
      </c>
      <c r="AR20" s="243">
        <v>-20000</v>
      </c>
      <c r="AS20" s="243">
        <v>-20000</v>
      </c>
      <c r="AT20" s="244">
        <v>-20000</v>
      </c>
      <c r="AV20" s="251"/>
    </row>
    <row r="21" spans="1:48" s="219" customFormat="1" ht="22.5" customHeight="1">
      <c r="A21" s="245" t="str">
        <f>IF($J$40="Italiano","GENERALE:",(IF($J$40="Français","GÉNÉRALE:","GENERAL:")))</f>
        <v>GENERAL:</v>
      </c>
      <c r="B21" s="258"/>
      <c r="C21" s="237">
        <f>IF(B21&lt;&gt;"",(IF(B16="Legendary Linemen",20000,(IF(B16="Reliable Ringers",30000,(IF(B16="Mercenaries",0,40000)))))),0)</f>
        <v>0</v>
      </c>
      <c r="D21" s="432"/>
      <c r="E21" s="433"/>
      <c r="F21" s="237" t="str">
        <f>IF(B16&lt;&gt;"Legendary Linemen","ILEGAL",(IF(D21&lt;&gt;"",50000,0)))</f>
        <v>ILEGAL</v>
      </c>
      <c r="G21" s="432"/>
      <c r="H21" s="433"/>
      <c r="I21" s="237" t="str">
        <f>IF(B16&lt;&gt;"Legendary Linemen","ILEGAL",(IF(G21&lt;&gt;"",80000,0)))</f>
        <v>ILEGAL</v>
      </c>
      <c r="J21" s="432"/>
      <c r="K21" s="433"/>
      <c r="L21" s="237" t="str">
        <f>IF(B16&lt;&gt;"Legendary Linemen","ILEGAL",(IF(J21&lt;&gt;"",110000,0)))</f>
        <v>ILEGAL</v>
      </c>
      <c r="M21" s="432"/>
      <c r="N21" s="433"/>
      <c r="O21" s="237" t="str">
        <f>IF(B16&lt;&gt;"Legendary Linemen","ILEGAL",(IF(M21&lt;&gt;"",140000,0)))</f>
        <v>ILEGAL</v>
      </c>
      <c r="P21" s="432"/>
      <c r="Q21" s="433"/>
      <c r="R21" s="237" t="str">
        <f>IF(B16&lt;&gt;"Legendary Linemen","ILEGAL",(IF(P21&lt;&gt;"",170000,0)))</f>
        <v>ILEGAL</v>
      </c>
      <c r="S21" s="237">
        <f>SUM(C21,F21,I21,L21,O21,R21)</f>
        <v>0</v>
      </c>
      <c r="T21" s="434"/>
      <c r="V21" s="227" t="str">
        <f t="shared" si="2"/>
        <v/>
      </c>
      <c r="W21" s="228" t="str">
        <f t="shared" si="2"/>
        <v/>
      </c>
      <c r="X21" s="222"/>
      <c r="Y21" s="227" t="s">
        <v>1270</v>
      </c>
      <c r="Z21" s="234">
        <v>4</v>
      </c>
      <c r="AA21" s="234">
        <v>4</v>
      </c>
      <c r="AB21" s="234">
        <v>4</v>
      </c>
      <c r="AC21" s="234">
        <v>6</v>
      </c>
      <c r="AD21" s="234">
        <v>9</v>
      </c>
      <c r="AE21" s="238" t="str">
        <f>IF(((COUNTIF(AE16,"A"))+(COUNTIF(AE16,"B"))+(COUNTIF(AE16,"H"))+(COUNTIF(AE16,"I"))+(COUNTIF(AE16,"M")))=1,"Loner (5+)","Loner (4+)")</f>
        <v>Loner (4+)</v>
      </c>
      <c r="AF21" s="238" t="str">
        <f>IF(OR(AE16="H",AE16="M"),"Mighty Blow (+2)","")</f>
        <v/>
      </c>
      <c r="AG21" s="238" t="str">
        <f>""</f>
        <v/>
      </c>
      <c r="AH21" s="238" t="str">
        <f>""</f>
        <v/>
      </c>
      <c r="AI21" s="228">
        <v>70000</v>
      </c>
      <c r="AK21" s="222"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1"/>
    </row>
    <row r="22" spans="1:48" s="219" customFormat="1" ht="22.5" customHeight="1">
      <c r="A22" s="245" t="str">
        <f>IF($J$40="Italiano","FORZA:",(IF($J$40="Español","FUERZA:",(IF($J$40="Français","FORCE:","STRENGTH:")))))</f>
        <v>STRENGTH:</v>
      </c>
      <c r="B22" s="258"/>
      <c r="C22" s="237">
        <f>IF(B22&lt;&gt;"",(IF(B16="Stunty Superstar",0,(IF(B16="Reliable Ringers",50000,(IF(B16="Mercenaries",0,30000)))))),0)</f>
        <v>0</v>
      </c>
      <c r="D22" s="432"/>
      <c r="E22" s="433"/>
      <c r="F22" s="237" t="str">
        <f>IF($B$3&lt;&gt;"Brutal Blockers",(IF($B$3&lt;&gt;"Bona Fide Big Guy","ILEGAL",(IF(D22&lt;&gt;"",70000,0)))),(IF(D22&lt;&gt;"",70000,0)))</f>
        <v>ILEGAL</v>
      </c>
      <c r="G22" s="432"/>
      <c r="H22" s="433"/>
      <c r="I22" s="237" t="str">
        <f>IF($B$3&lt;&gt;"Brutal Blockers",(IF($B$3&lt;&gt;"Bona Fide Big Guy","ILEGAL",(IF(G22&lt;&gt;"",110000,0)))),(IF(G22&lt;&gt;"",110000,0)))</f>
        <v>ILEGAL</v>
      </c>
      <c r="J22" s="432"/>
      <c r="K22" s="433"/>
      <c r="L22" s="237" t="str">
        <f>IF($B$3&lt;&gt;"Brutal Blockers",(IF($B$3&lt;&gt;"Bona Fide Big Guy","ILEGAL",(IF(J22&lt;&gt;"",150000,0)))),(IF(J22&lt;&gt;"",150000,0)))</f>
        <v>ILEGAL</v>
      </c>
      <c r="M22" s="432"/>
      <c r="N22" s="433"/>
      <c r="O22" s="237" t="str">
        <f>IF($B$3&lt;&gt;"Brutal Blockers",(IF($B$3&lt;&gt;"Bona Fide Big Guy","ILEGAL",(IF(M22&lt;&gt;"",190000,0)))),(IF(M22&lt;&gt;"",190000,0)))</f>
        <v>ILEGAL</v>
      </c>
      <c r="P22" s="432"/>
      <c r="Q22" s="433"/>
      <c r="R22" s="237" t="str">
        <f>IF($B$3&lt;&gt;"Brutal Blockers",(IF($B$3&lt;&gt;"Bona Fide Big Guy","ILEGAL",(IF(P22&lt;&gt;"",230000,0)))),(IF(P22&lt;&gt;"",230000,0)))</f>
        <v>ILEGAL</v>
      </c>
      <c r="S22" s="237">
        <f t="shared" ref="S22:S25" si="3">SUM(C22,F22,I22,L22,O22,R22)</f>
        <v>0</v>
      </c>
      <c r="T22" s="434"/>
      <c r="V22" s="227" t="str">
        <f t="shared" si="2"/>
        <v/>
      </c>
      <c r="W22" s="228" t="str">
        <f t="shared" si="2"/>
        <v/>
      </c>
      <c r="X22" s="222"/>
      <c r="Y22" s="227" t="s">
        <v>1271</v>
      </c>
      <c r="Z22" s="234">
        <v>6</v>
      </c>
      <c r="AA22" s="234">
        <v>3</v>
      </c>
      <c r="AB22" s="234">
        <v>2</v>
      </c>
      <c r="AC22" s="234">
        <v>3</v>
      </c>
      <c r="AD22" s="234">
        <v>8</v>
      </c>
      <c r="AE22" s="238" t="str">
        <f>IF(((COUNTIF(AE16,"A"))+(COUNTIF(AE16,"B"))+(COUNTIF(AE16,"H"))+(COUNTIF(AE16,"I"))+(COUNTIF(AE16,"M")))=1,"Loner (5+)","Loner (4+)")</f>
        <v>Loner (4+)</v>
      </c>
      <c r="AF22" s="238" t="str">
        <f>""</f>
        <v/>
      </c>
      <c r="AG22" s="238" t="str">
        <f>""</f>
        <v/>
      </c>
      <c r="AH22" s="238" t="str">
        <f>""</f>
        <v/>
      </c>
      <c r="AI22" s="228">
        <v>70000</v>
      </c>
      <c r="AV22" s="251"/>
    </row>
    <row r="23" spans="1:48" s="219" customFormat="1" ht="22.5" customHeight="1">
      <c r="A23" s="245" t="str">
        <f>IF($J$40="Italiano","AGILITÀ:",(IF($J$40="Español","AGILIDAD:",(IF($J$40="Deutsch","AGILITÄT:",(IF($J$40="Français","AGILITÉ:","AGILITY:")))))))</f>
        <v>AGILITY:</v>
      </c>
      <c r="B23" s="258"/>
      <c r="C23" s="237">
        <f>IF(B23&lt;&gt;"",(IF(B16="Stunty Superstar",10000,(IF(B16="Brutal Blockers",40000,(IF(OR(B16="Mercenaries",B16="Bona Fide Big Guy"),0,30000)))))),0)</f>
        <v>0</v>
      </c>
      <c r="D23" s="432"/>
      <c r="E23" s="433"/>
      <c r="F23" s="237" t="str">
        <f>IF($B$3&lt;&gt;"Stunty Superstar",(IF($B$3&lt;&gt;"Reliable Ringers","ILEGAL",(IF(D23&lt;&gt;"",70000,0)))),(IF(D23&lt;&gt;"",30000,0)))</f>
        <v>ILEGAL</v>
      </c>
      <c r="G23" s="432"/>
      <c r="H23" s="433"/>
      <c r="I23" s="237" t="str">
        <f>IF($B$3&lt;&gt;"Stunty Superstar",(IF($B$3&lt;&gt;"Reliable Ringers","ILEGAL",(IF(G23&lt;&gt;"",110000,0)))),(IF(G23&lt;&gt;"",50000,0)))</f>
        <v>ILEGAL</v>
      </c>
      <c r="J23" s="432"/>
      <c r="K23" s="433"/>
      <c r="L23" s="237" t="str">
        <f>IF($B$3&lt;&gt;"Stunty Superstar",(IF($B$3&lt;&gt;"Reliable Ringers","ILEGAL",(IF(J23&lt;&gt;"",150000,0)))),(IF(J23&lt;&gt;"",70000,0)))</f>
        <v>ILEGAL</v>
      </c>
      <c r="M23" s="432"/>
      <c r="N23" s="433"/>
      <c r="O23" s="237" t="str">
        <f>IF($B$3&lt;&gt;"Stunty Superstar",(IF($B$3&lt;&gt;"Reliable Ringers","ILEGAL",(IF(M23&lt;&gt;"",190000,0)))),(IF(M23&lt;&gt;"",90000,0)))</f>
        <v>ILEGAL</v>
      </c>
      <c r="P23" s="432"/>
      <c r="Q23" s="433"/>
      <c r="R23" s="237" t="str">
        <f>IF($B$3&lt;&gt;"Stunty Superstar",(IF($B$3&lt;&gt;"Reliable Ringers","ILEGAL",(IF(P23&lt;&gt;"",230000,0)))),(IF(P23&lt;&gt;"",110000,0)))</f>
        <v>ILEGAL</v>
      </c>
      <c r="S23" s="237">
        <f t="shared" si="3"/>
        <v>0</v>
      </c>
      <c r="T23" s="434"/>
      <c r="V23" s="230" t="str">
        <f t="shared" si="2"/>
        <v/>
      </c>
      <c r="W23" s="244" t="str">
        <f t="shared" si="2"/>
        <v/>
      </c>
      <c r="X23" s="222"/>
      <c r="Y23" s="230" t="s">
        <v>1272</v>
      </c>
      <c r="Z23" s="243">
        <v>4</v>
      </c>
      <c r="AA23" s="243">
        <v>5</v>
      </c>
      <c r="AB23" s="243">
        <v>4</v>
      </c>
      <c r="AC23" s="243">
        <v>5</v>
      </c>
      <c r="AD23" s="243">
        <v>9</v>
      </c>
      <c r="AE23" s="231" t="str">
        <f>IF(((COUNTIF(AE16,"A"))+(COUNTIF(AE16,"B"))+(COUNTIF(AE16,"H"))+(COUNTIF(AE16,"I"))+(COUNTIF(AE16,"M")))=1,"Loner (5+)","Loner (4+)")</f>
        <v>Loner (4+)</v>
      </c>
      <c r="AF23" s="231" t="str">
        <f>IF(OR(AE16="J",AE16="K",AE16="L",AE16="M",AE16="N"),"","Bone Head")</f>
        <v>Bone Head</v>
      </c>
      <c r="AG23" s="231" t="str">
        <f>IF(OR(AE16="H",AE16="M"),"Mighty Blow (+2)","Mighty Blow (+1)")</f>
        <v>Mighty Blow (+1)</v>
      </c>
      <c r="AH23" s="231" t="str">
        <f>IF(OR(AE16="K",AE16="L"),"","Throw Team Mate")</f>
        <v>Throw Team Mate</v>
      </c>
      <c r="AI23" s="244">
        <v>130000</v>
      </c>
      <c r="AV23" s="251"/>
    </row>
    <row r="24" spans="1:48" s="219" customFormat="1" ht="22.5" customHeight="1">
      <c r="A24" s="245" t="str">
        <f>IF($J$40="Español","PASE:",(IF($J$40="Français","PASSER:","PASS:")))</f>
        <v>PASS:</v>
      </c>
      <c r="B24" s="258"/>
      <c r="C24" s="237">
        <f>IF(B24&lt;&gt;"",(IF(B16="Mercenaries",0,(IF(OR(B16="Reliable Ringers",B16="Bona Fide Big Guy"),30000,20000)))),0)</f>
        <v>0</v>
      </c>
      <c r="D24" s="432"/>
      <c r="E24" s="433"/>
      <c r="F24" s="237" t="s">
        <v>1273</v>
      </c>
      <c r="G24" s="432"/>
      <c r="H24" s="433"/>
      <c r="I24" s="237" t="s">
        <v>1273</v>
      </c>
      <c r="J24" s="432"/>
      <c r="K24" s="433"/>
      <c r="L24" s="237" t="s">
        <v>1273</v>
      </c>
      <c r="M24" s="432"/>
      <c r="N24" s="433"/>
      <c r="O24" s="237" t="s">
        <v>1273</v>
      </c>
      <c r="P24" s="432"/>
      <c r="Q24" s="433"/>
      <c r="R24" s="237" t="s">
        <v>1273</v>
      </c>
      <c r="S24" s="237">
        <f t="shared" si="3"/>
        <v>0</v>
      </c>
      <c r="T24" s="434"/>
      <c r="V24" s="222"/>
      <c r="W24" s="222"/>
      <c r="X24" s="222"/>
      <c r="Y24" s="222"/>
      <c r="Z24" s="222"/>
      <c r="AA24" s="222"/>
      <c r="AB24" s="222"/>
      <c r="AC24" s="222"/>
      <c r="AD24" s="222"/>
      <c r="AE24" s="222"/>
      <c r="AF24" s="222"/>
      <c r="AG24" s="222"/>
      <c r="AH24" s="222"/>
      <c r="AI24" s="222"/>
      <c r="AV24" s="251"/>
    </row>
    <row r="25" spans="1:48" s="219" customFormat="1" ht="22.5" customHeight="1">
      <c r="A25" s="218" t="str">
        <f>IF($J$40="Italiano","MUTAZIONE:",(IF($J$40="Español","MUTACIÓN:","MUTATION:")))</f>
        <v>MUTATION:</v>
      </c>
      <c r="B25" s="258"/>
      <c r="C25" s="237">
        <f>IF(B16="Stunty Superstar","ILEGAL",(IF(B25&lt;&gt;"",(IF(B16="Mercenaries",0,(IF(OR(B16="Brutal Blockers",B16="Bona Fide Big Guy"),40000,IF(B16="Legendary Linemen",30000,(IF(B25="Big Hand",30000,(IF(B25="Extra Arms",20000,(IF(B25="Two Heads",30000,(IF(B25="Very Long Legs",30000,0))))))))))))),0)))</f>
        <v>0</v>
      </c>
      <c r="D25" s="432"/>
      <c r="E25" s="433"/>
      <c r="F25" s="237" t="str">
        <f>IF(OR($B$3="Stunty Superstar",$B$3="Brutal Blockers",$B$3="Bona Fide Big Guy",$B$3="Mercenaries"),"ILEGAL",(IF(D25&lt;&gt;"",(IF($B$3="Legendary Linemen",70000,(IF(D25="Big Hand",30000,(IF(D25="Extra Arms",20000,(IF(D25="Two Heads",30000,(IF(D25="Very Long Legs",30000,"ILEGAL")))))))))),0)))</f>
        <v>ILEGAL</v>
      </c>
      <c r="G25" s="432"/>
      <c r="H25" s="433"/>
      <c r="I25" s="237" t="str">
        <f>IF(OR($B$3="Stunty Superstar",$B$3="Brutal Blockers",$B$3="Bona Fide Big Guy",$B$3="Mercenaries"),"ILEGAL",(IF(G25&lt;&gt;"",(IF($B$3="Legendary Linemen",110000,(IF(G25="Big Hand",30000,(IF(G25="Extra Arms",20000,(IF(G25="Two Heads",30000,(IF(G25="Very Long Legs",30000,0)))))))))),0)))</f>
        <v>ILEGAL</v>
      </c>
      <c r="J25" s="432"/>
      <c r="K25" s="433"/>
      <c r="L25" s="237" t="str">
        <f>IF(OR($B$3="Stunty Superstar",$B$3="Brutal Blockers",$B$3="Bona Fide Big Guy",$B$3="Mercenaries"),"ILEGAL",(IF(J25&lt;&gt;"",(IF($B$3="Legendary Linemen",150000,(IF(J25="Big Hand",30000,(IF(J25="Extra Arms",20000,(IF(J25="Two Heads",30000,(IF(J25="Very Long Legs",30000,0)))))))))),0)))</f>
        <v>ILEGAL</v>
      </c>
      <c r="M25" s="432"/>
      <c r="N25" s="433"/>
      <c r="O25" s="237" t="str">
        <f>IF(B16&lt;&gt;"Legendary Linemen","ILEGAL",(IF(M25&lt;&gt;"",190000,0)))</f>
        <v>ILEGAL</v>
      </c>
      <c r="P25" s="432"/>
      <c r="Q25" s="433"/>
      <c r="R25" s="237" t="str">
        <f>IF(B16&lt;&gt;"Legendary Linemen","ILEGAL",(IF(P25&lt;&gt;"",230000,0)))</f>
        <v>ILEGAL</v>
      </c>
      <c r="S25" s="237">
        <f t="shared" si="3"/>
        <v>0</v>
      </c>
      <c r="T25" s="434"/>
      <c r="V25" s="246" t="s">
        <v>1268</v>
      </c>
      <c r="W25" s="247">
        <f>SUM(Y25:AI25)</f>
        <v>0</v>
      </c>
      <c r="X25" s="247"/>
      <c r="Y25" s="247">
        <f>IF(K19="ILEGAL",0,K19)</f>
        <v>0</v>
      </c>
      <c r="Z25" s="247">
        <f>IF(M19="ILEGAL",0,M19)</f>
        <v>0</v>
      </c>
      <c r="AA25" s="247">
        <f>IF(O19="ILEGAL",0,O19)</f>
        <v>0</v>
      </c>
      <c r="AB25" s="247">
        <f>IF(Q19="ILEGAL",0,Q19)</f>
        <v>0</v>
      </c>
      <c r="AC25" s="247">
        <f>IF(S19="ILEGAL",0,S19)</f>
        <v>0</v>
      </c>
      <c r="AD25" s="247">
        <f>I19</f>
        <v>0</v>
      </c>
      <c r="AE25" s="247">
        <f>S21</f>
        <v>0</v>
      </c>
      <c r="AF25" s="247">
        <f>S22</f>
        <v>0</v>
      </c>
      <c r="AG25" s="247">
        <f>S23</f>
        <v>0</v>
      </c>
      <c r="AH25" s="247">
        <f>S24</f>
        <v>0</v>
      </c>
      <c r="AI25" s="248">
        <f>S25</f>
        <v>0</v>
      </c>
      <c r="AV25" s="251"/>
    </row>
    <row r="26" spans="1:48" s="219" customFormat="1" ht="15" customHeight="1">
      <c r="A26" s="249"/>
      <c r="B26" s="250"/>
      <c r="C26" s="250"/>
      <c r="D26" s="250"/>
      <c r="E26" s="250"/>
      <c r="F26" s="250"/>
      <c r="G26" s="250"/>
      <c r="H26" s="250"/>
      <c r="I26" s="250"/>
      <c r="J26" s="250"/>
      <c r="K26" s="250"/>
      <c r="L26" s="250"/>
      <c r="M26" s="250"/>
      <c r="N26" s="250"/>
      <c r="O26" s="250"/>
      <c r="P26" s="250"/>
      <c r="Q26" s="250"/>
      <c r="R26" s="250"/>
      <c r="S26" s="250"/>
      <c r="T26" s="434"/>
      <c r="V26" s="234"/>
      <c r="W26" s="234"/>
      <c r="X26" s="234"/>
      <c r="Y26" s="234"/>
      <c r="Z26" s="234"/>
      <c r="AA26" s="234"/>
      <c r="AB26" s="234"/>
      <c r="AC26" s="234"/>
      <c r="AD26" s="234"/>
      <c r="AE26" s="234"/>
      <c r="AF26" s="234"/>
      <c r="AG26" s="234"/>
      <c r="AH26" s="234"/>
      <c r="AI26" s="234"/>
      <c r="AV26" s="251"/>
    </row>
    <row r="27" spans="1:48" ht="21.75" customHeight="1">
      <c r="A27" s="419" t="str">
        <f>IF(Roster!$J$24="Italiano","MERCENARIO 3",(IF(Roster!$J$24="Español","MERCENARIO 3",(IF(Roster!$J$24="Français","MERCENAIRE 3","MERCENARY 3")))))</f>
        <v>MERCENARY 3</v>
      </c>
      <c r="B27" s="419"/>
      <c r="C27" s="419"/>
      <c r="D27" s="419"/>
      <c r="E27" s="419"/>
      <c r="F27" s="419"/>
      <c r="G27" s="419"/>
      <c r="H27" s="419"/>
      <c r="I27" s="419"/>
      <c r="J27" s="419"/>
      <c r="K27" s="419"/>
      <c r="L27" s="419"/>
      <c r="M27" s="419"/>
      <c r="N27" s="419"/>
      <c r="O27" s="419"/>
      <c r="P27" s="419"/>
      <c r="Q27" s="419"/>
      <c r="R27" s="419"/>
      <c r="S27" s="419"/>
      <c r="T27" s="434"/>
    </row>
    <row r="28" spans="1:48" s="219" customFormat="1" ht="22.5" customHeight="1">
      <c r="A28" s="218" t="str">
        <f>IF(Roster!$J$24="Italiano","MERCENARIO 3",(IF(Roster!$J$24="Español","MERCENARIO 3",(IF(Roster!$J$24="Français","MERCENAIRE 3","MERCENARY 3")))))</f>
        <v>MERCENARY 3</v>
      </c>
      <c r="B28" s="218" t="str">
        <f>IF(Roster!$J$24="Italiano","TIPO",(IF(Roster!$J$24="Español","TIPO",(IF(Roster!$J$24="Deutsch","POSITION",(IF(Roster!$J$24="Français","POSTE","TYPE")))))))</f>
        <v>TYPE</v>
      </c>
      <c r="C28" s="218" t="str">
        <f>IF(Roster!$J$24="Español","MO",(IF(Roster!$J$24="Deutsch","BE",(IF(Roster!$J$24="Français","M","MA")))))</f>
        <v>MA</v>
      </c>
      <c r="D28" s="218" t="str">
        <f>IF(Roster!$J$24="Español","FU",(IF(Roster!$J$24="Français","F","ST")))</f>
        <v>ST</v>
      </c>
      <c r="E28" s="218" t="str">
        <f>IF(Roster!$J$24="Deutsch","GE","AG")</f>
        <v>AG</v>
      </c>
      <c r="F28" s="218" t="str">
        <f>IF(Roster!$J$24="Deutsch","WG",(IF(Roster!$J$24="Français","CP","PA")))</f>
        <v>PA</v>
      </c>
      <c r="G28" s="218" t="str">
        <f>IF(Roster!$J$24="Español","AR",(IF(Roster!$J$24="Deutsch","RW",(IF(Roster!$J$24="Français","AR","AV")))))</f>
        <v>AV</v>
      </c>
      <c r="H28" s="420" t="str">
        <f>IF(Roster!$J$24="Italiano","ABILITÀ",(IF(Roster!$J$24="Español","HABILIDADES",(IF(Roster!$J$24="Deutsch","FERTIGKEITEN",(IF(Roster!$J$24="Français","COMPÉTENCES","SKILLS")))))))</f>
        <v>SKILLS</v>
      </c>
      <c r="I28" s="421"/>
      <c r="J28" s="421"/>
      <c r="K28" s="421"/>
      <c r="L28" s="421"/>
      <c r="M28" s="421"/>
      <c r="N28" s="421"/>
      <c r="O28" s="421"/>
      <c r="P28" s="421"/>
      <c r="Q28" s="421"/>
      <c r="R28" s="422"/>
      <c r="S28" s="218" t="str">
        <f>IF(Roster!$J$24="Italiano","COSTO",(IF(Roster!$J$24="Español","PRECIO",(IF(Roster!$J$24="Deutsch","WERT",(IF(Roster!$J$24="Français","VALEUR","COST")))))))</f>
        <v>COST</v>
      </c>
      <c r="T28" s="434"/>
      <c r="V28" s="220" t="s">
        <v>255</v>
      </c>
      <c r="W28" s="221" t="s">
        <v>202</v>
      </c>
      <c r="X28" s="222"/>
      <c r="Y28" s="220" t="s">
        <v>1259</v>
      </c>
      <c r="Z28" s="223"/>
      <c r="AA28" s="223"/>
      <c r="AB28" s="221"/>
      <c r="AC28" s="222"/>
      <c r="AD28" s="222"/>
      <c r="AE28" s="222"/>
      <c r="AF28" s="220" t="s">
        <v>1260</v>
      </c>
      <c r="AG28" s="223"/>
      <c r="AH28" s="223"/>
      <c r="AI28" s="221"/>
      <c r="AK28" s="435" t="s">
        <v>1261</v>
      </c>
      <c r="AL28" s="436"/>
      <c r="AM28" s="436"/>
      <c r="AN28" s="436"/>
      <c r="AO28" s="437"/>
      <c r="AP28" s="435" t="s">
        <v>1262</v>
      </c>
      <c r="AQ28" s="436"/>
      <c r="AR28" s="436"/>
      <c r="AS28" s="436"/>
      <c r="AT28" s="437"/>
    </row>
    <row r="29" spans="1:48" s="219" customFormat="1" ht="30" customHeight="1">
      <c r="A29" s="258"/>
      <c r="B29" s="258" t="s">
        <v>1265</v>
      </c>
      <c r="C29" s="226" t="str">
        <f>IF((VLOOKUP(B29,Y31:AD36,2,FALSE))+J32+(IF(AE29="G",-2,0))+(IF(OR(AE29="O",AE29="N"),-1,0))=0,"",(VLOOKUP(B29,Y31:AD36,2,FALSE))+J32+(IF(AE29="G",-2,0))+(IF(OR(AE29="O",AE29="N"),-1,0)))</f>
        <v/>
      </c>
      <c r="D29" s="226" t="str">
        <f>IF((VLOOKUP(B29,Y31:AD36,3,FALSE))+L32+(IF(AE29="G",3,0))+(IF(OR(AE29="O",AE29="N"),2,0))=0,"",(VLOOKUP(B29,Y31:AD36,3,FALSE))+L32+(IF(AE29="G",3,0))+(IF(OR(AE29="O",AE29="N"),2,0)))</f>
        <v/>
      </c>
      <c r="E29" s="226" t="str">
        <f>IF((VLOOKUP(B29,Y31:AD36,4,FALSE)+N32+(IF(AE29="J",1,0)))=0,"",(VLOOKUP(B29,Y31:AD36,4,FALSE)+N32+(IF(AE29="J",1,0))&amp;"+"))</f>
        <v/>
      </c>
      <c r="F29" s="226" t="str">
        <f>IF((VLOOKUP(B29,Y31:AD36,5,FALSE)+P32)=0,"",(VLOOKUP(B29,Y31:AD36,5,FALSE)+P32&amp;"+"))</f>
        <v/>
      </c>
      <c r="G29" s="226" t="str">
        <f>IF((VLOOKUP(B29,Y31:AD36,6,FALSE)+R32)=0,"",(VLOOKUP(B29,Y31:AD36,6,FALSE)+R32&amp;"+"))</f>
        <v/>
      </c>
      <c r="H29" s="423" t="str">
        <f>Y29&amp;(IF(Z29&lt;&gt;"",", ",""))&amp;Z29&amp;(IF(AA29&lt;&gt;"",", ",""))&amp;AA29&amp;(IF(AB29&lt;&gt;"",", ",""))&amp;AB29&amp;(IF(AF29&lt;&gt;"",", ",""))&amp;AF29&amp;(IF(AG29&lt;&gt;"",", ",""))&amp;AG29&amp;(IF(AH29&lt;&gt;"",", ",""))&amp;AH29&amp;(IF(AI29&lt;&gt;"",", ",""))&amp;AI29&amp;AK34</f>
        <v/>
      </c>
      <c r="I29" s="424"/>
      <c r="J29" s="424"/>
      <c r="K29" s="424"/>
      <c r="L29" s="424"/>
      <c r="M29" s="424"/>
      <c r="N29" s="424"/>
      <c r="O29" s="424"/>
      <c r="P29" s="424"/>
      <c r="Q29" s="424"/>
      <c r="R29" s="425"/>
      <c r="S29" s="226">
        <f>(VLOOKUP(B29,Y31:AI36,11,FALSE))+W38</f>
        <v>0</v>
      </c>
      <c r="T29" s="434"/>
      <c r="V29" s="227"/>
      <c r="W29" s="228">
        <v>0</v>
      </c>
      <c r="X29" s="229"/>
      <c r="Y29" s="230" t="str">
        <f>VLOOKUP(B29,Y31:AH36,7,FALSE)</f>
        <v/>
      </c>
      <c r="Z29" s="231" t="str">
        <f>VLOOKUP(B29,Y31:AH36,8,FALSE)</f>
        <v/>
      </c>
      <c r="AA29" s="231" t="str">
        <f>VLOOKUP(B29,Y31:AH36,9,FALSE)</f>
        <v/>
      </c>
      <c r="AB29" s="232" t="str">
        <f>VLOOKUP(B29,Y31:AH36,10,FALSE)</f>
        <v/>
      </c>
      <c r="AC29" s="222"/>
      <c r="AD29" s="222"/>
      <c r="AE29" s="222" t="str">
        <f>IFERROR((VLOOKUP(A32,R41:W55,2,FALSE)),"")</f>
        <v/>
      </c>
      <c r="AF29" s="230" t="str">
        <f>IFERROR((VLOOKUP(A32,R41:W55,3,FALSE)),"")</f>
        <v/>
      </c>
      <c r="AG29" s="231" t="str">
        <f>IFERROR((VLOOKUP(A32,R41:W55,4,FALSE)),"")</f>
        <v/>
      </c>
      <c r="AH29" s="231" t="str">
        <f>IFERROR((VLOOKUP(A32,R41:W55,5,FALSE)),"")</f>
        <v/>
      </c>
      <c r="AI29" s="232" t="str">
        <f>IFERROR((VLOOKUP(A32,R41:W55,6,FALSE)),"")</f>
        <v/>
      </c>
      <c r="AK29" s="233">
        <v>0</v>
      </c>
      <c r="AL29" s="234">
        <v>0</v>
      </c>
      <c r="AM29" s="234">
        <v>0</v>
      </c>
      <c r="AN29" s="234">
        <v>0</v>
      </c>
      <c r="AO29" s="228">
        <v>0</v>
      </c>
      <c r="AP29" s="233">
        <v>0</v>
      </c>
      <c r="AQ29" s="234">
        <v>0</v>
      </c>
      <c r="AR29" s="234">
        <v>0</v>
      </c>
      <c r="AS29" s="234">
        <v>0</v>
      </c>
      <c r="AT29" s="228">
        <v>0</v>
      </c>
    </row>
    <row r="30" spans="1:48" s="219" customFormat="1" ht="22.5" customHeight="1">
      <c r="A30" s="429" t="str">
        <f>IF(BC8="Italiano","AVANZAMIENTO GIOCATORI",(IF(BC8="Español","MEJORAS DEL JUGADORE",(IF(BC8="Deutsch","SPIELERVERBESSERUNGEN",(IF(BC8="Français","AMÉLIORATIONS DE JOUEUR","PLAYER UPGRADES")))))))</f>
        <v>PLAYER UPGRADES</v>
      </c>
      <c r="B30" s="429"/>
      <c r="C30" s="429"/>
      <c r="D30" s="429"/>
      <c r="E30" s="429"/>
      <c r="F30" s="429"/>
      <c r="G30" s="429"/>
      <c r="H30" s="429"/>
      <c r="I30" s="429"/>
      <c r="J30" s="429"/>
      <c r="K30" s="429"/>
      <c r="L30" s="429"/>
      <c r="M30" s="429"/>
      <c r="N30" s="429"/>
      <c r="O30" s="429"/>
      <c r="P30" s="429"/>
      <c r="Q30" s="429"/>
      <c r="R30" s="429"/>
      <c r="S30" s="429"/>
      <c r="T30" s="434"/>
      <c r="V30" s="227" t="str">
        <f t="shared" ref="V30:W36" si="4">IF($B$29="Stunty Superstar",C43,(IF($B$29="Legendary Linemen",F43,(IF($B$29="Brutal Blockers",I43,(IF($B$29="Reliable Ringers",L43,(IF($B$29="Bona Fide Big Guy",O43,"")))))))))</f>
        <v/>
      </c>
      <c r="W30" s="228" t="str">
        <f t="shared" si="4"/>
        <v/>
      </c>
      <c r="X30" s="222"/>
      <c r="Y30" s="222"/>
      <c r="Z30" s="222"/>
      <c r="AA30" s="222"/>
      <c r="AB30" s="222"/>
      <c r="AC30" s="222"/>
      <c r="AD30" s="222"/>
      <c r="AE30" s="222"/>
      <c r="AF30" s="222"/>
      <c r="AG30" s="222"/>
      <c r="AH30" s="222"/>
      <c r="AI30" s="222"/>
      <c r="AK30" s="233">
        <v>1</v>
      </c>
      <c r="AL30" s="234">
        <v>0</v>
      </c>
      <c r="AM30" s="234">
        <f>IF(B29="Legendary Linemen",0,-1)</f>
        <v>-1</v>
      </c>
      <c r="AN30" s="234">
        <f>IF(B29="Brutal Blockers",0,-1)</f>
        <v>-1</v>
      </c>
      <c r="AO30" s="228">
        <v>1</v>
      </c>
      <c r="AP30" s="233">
        <f>IF(OR(B29="Legendary Linemen",B29="Bona Fide Big Guy"),20000,30000)</f>
        <v>30000</v>
      </c>
      <c r="AQ30" s="234">
        <v>0</v>
      </c>
      <c r="AR30" s="234">
        <f>IF(OR(B29="Stunty Superstar",B29="Bona Fide Big Guy"),40000,(IF(B29="Legendary Linemen",0,50000)))</f>
        <v>50000</v>
      </c>
      <c r="AS30" s="234">
        <f>IF(B29="Brutal Blockers",0,30000)</f>
        <v>30000</v>
      </c>
      <c r="AT30" s="228">
        <f>IF(B29="Stunty Superstar",30000,(IF(B29="Reliable Ringers",40000,20000)))</f>
        <v>20000</v>
      </c>
    </row>
    <row r="31" spans="1:48" s="219" customFormat="1" ht="22.5" customHeight="1">
      <c r="A31" s="420" t="s">
        <v>1264</v>
      </c>
      <c r="B31" s="421"/>
      <c r="C31" s="421"/>
      <c r="D31" s="421"/>
      <c r="E31" s="421"/>
      <c r="F31" s="421"/>
      <c r="G31" s="421"/>
      <c r="H31" s="422"/>
      <c r="I31" s="218" t="str">
        <f>IF(Roster!$J$24="Italiano","COSTO",(IF(Roster!$J$24="Español","PRECIO",(IF(Roster!$J$24="Deutsch","WERT",(IF(Roster!$J$24="Français","VALEUR","COST")))))))</f>
        <v>COST</v>
      </c>
      <c r="J31" s="218" t="str">
        <f>IF(Roster!$J$24="Español","MO",(IF(Roster!$J$24="Deutsch","BE",(IF(Roster!$J$24="Français","M","MA")))))</f>
        <v>MA</v>
      </c>
      <c r="K31" s="218" t="str">
        <f>IF(Roster!$J$24="Italiano","COSTO",(IF(Roster!$J$24="Español","PRECIO",(IF(Roster!$J$24="Deutsch","WERT",(IF(Roster!$J$24="Français","VALEUR","COST")))))))</f>
        <v>COST</v>
      </c>
      <c r="L31" s="218" t="str">
        <f>IF(Roster!$J$24="Español","FU",(IF(Roster!$J$24="Français","F","ST")))</f>
        <v>ST</v>
      </c>
      <c r="M31" s="218" t="str">
        <f>IF(Roster!$J$24="Italiano","COSTO",(IF(Roster!$J$24="Español","PRECIO",(IF(Roster!$J$24="Deutsch","WERT",(IF(Roster!$J$24="Français","VALEUR","COST")))))))</f>
        <v>COST</v>
      </c>
      <c r="N31" s="218" t="str">
        <f>IF(Roster!$J$24="Deutsch","GE","AG")</f>
        <v>AG</v>
      </c>
      <c r="O31" s="218" t="str">
        <f>IF(Roster!$J$24="Italiano","COSTO",(IF(Roster!$J$24="Español","PRECIO",(IF(Roster!$J$24="Deutsch","WERT",(IF(Roster!$J$24="Français","VALEUR","COST")))))))</f>
        <v>COST</v>
      </c>
      <c r="P31" s="218" t="str">
        <f>IF(Roster!$J$24="Deutsch","WG",(IF(Roster!$J$24="Français","CP","PA")))</f>
        <v>PA</v>
      </c>
      <c r="Q31" s="218" t="str">
        <f>IF(Roster!$J$24="Italiano","COSTO",(IF(Roster!$J$24="Español","PRECIO",(IF(Roster!$J$24="Deutsch","WERT",(IF(Roster!$J$24="Français","VALEUR","COST")))))))</f>
        <v>COST</v>
      </c>
      <c r="R31" s="218" t="str">
        <f>IF(Roster!$J$24="Español","AR",(IF(Roster!$J$24="Deutsch","RW",(IF(Roster!$J$24="Français","AR","AV")))))</f>
        <v>AV</v>
      </c>
      <c r="S31" s="218" t="str">
        <f>IF(Roster!$J$24="Italiano","COSTO",(IF(Roster!$J$24="Español","PRECIO",(IF(Roster!$J$24="Deutsch","WERT",(IF(Roster!$J$24="Français","VALEUR","COST")))))))</f>
        <v>COST</v>
      </c>
      <c r="T31" s="434"/>
      <c r="U31" s="252"/>
      <c r="V31" s="227" t="str">
        <f t="shared" si="4"/>
        <v/>
      </c>
      <c r="W31" s="228" t="str">
        <f t="shared" si="4"/>
        <v/>
      </c>
      <c r="X31" s="222"/>
      <c r="Y31" s="220" t="s">
        <v>1265</v>
      </c>
      <c r="Z31" s="236">
        <v>0</v>
      </c>
      <c r="AA31" s="236">
        <v>0</v>
      </c>
      <c r="AB31" s="236">
        <v>0</v>
      </c>
      <c r="AC31" s="236">
        <v>0</v>
      </c>
      <c r="AD31" s="236">
        <v>0</v>
      </c>
      <c r="AE31" s="223" t="str">
        <f>""</f>
        <v/>
      </c>
      <c r="AF31" s="223" t="str">
        <f>""</f>
        <v/>
      </c>
      <c r="AG31" s="223" t="str">
        <f>""</f>
        <v/>
      </c>
      <c r="AH31" s="223" t="str">
        <f>""</f>
        <v/>
      </c>
      <c r="AI31" s="266">
        <v>0</v>
      </c>
      <c r="AK31" s="233">
        <v>2</v>
      </c>
      <c r="AL31" s="234">
        <v>0</v>
      </c>
      <c r="AM31" s="234">
        <f>IF(B29="Legendary Linemen",0,-2)</f>
        <v>-2</v>
      </c>
      <c r="AN31" s="234">
        <f>IF(B29="Brutal Blockers",0,-2)</f>
        <v>-2</v>
      </c>
      <c r="AO31" s="228">
        <v>2</v>
      </c>
      <c r="AP31" s="233">
        <f>IF(OR(B29="Stunty Superstar",B29="Reliable Ringers"),48000,(IF(B29="Legendary Linemen",40000,50000)))</f>
        <v>50000</v>
      </c>
      <c r="AQ31" s="234">
        <v>0</v>
      </c>
      <c r="AR31" s="234">
        <f>IF(OR(B29="Stunty Superstar",B29="Bona Fide Big Guy"),80000,(IF(B29="Legendary Linemen",0,100000)))</f>
        <v>100000</v>
      </c>
      <c r="AS31" s="234">
        <f>IF(B29="Brutal Blockers",0,48000)</f>
        <v>48000</v>
      </c>
      <c r="AT31" s="228">
        <f>IF(B29="Stunty Superstar",48000,(IF(B29="Reliable Ringers",80000,40000)))</f>
        <v>40000</v>
      </c>
    </row>
    <row r="32" spans="1:48" s="219" customFormat="1" ht="22.5" customHeight="1">
      <c r="A32" s="426"/>
      <c r="B32" s="427"/>
      <c r="C32" s="427"/>
      <c r="D32" s="427"/>
      <c r="E32" s="427"/>
      <c r="F32" s="427"/>
      <c r="G32" s="427"/>
      <c r="H32" s="428"/>
      <c r="I32" s="237">
        <f>IFERROR((VLOOKUP(A32,V30:W36,2,FALSE)),0)</f>
        <v>0</v>
      </c>
      <c r="J32" s="258">
        <v>0</v>
      </c>
      <c r="K32" s="237">
        <f>IFERROR((VLOOKUP(J32,AK29:AT33,6,FALSE)),"ILEGAL")</f>
        <v>0</v>
      </c>
      <c r="L32" s="258">
        <v>0</v>
      </c>
      <c r="M32" s="237">
        <f>IFERROR((VLOOKUP(L32,AL29:AT33,6,FALSE)),"ILEGAL")</f>
        <v>0</v>
      </c>
      <c r="N32" s="258">
        <v>0</v>
      </c>
      <c r="O32" s="237">
        <f>IFERROR((VLOOKUP(N32,AM29:AT33,6,FALSE)),"ILEGAL")</f>
        <v>0</v>
      </c>
      <c r="P32" s="258">
        <v>0</v>
      </c>
      <c r="Q32" s="237">
        <f>IFERROR((VLOOKUP(P32,AN29:AT33,6,FALSE)),"ILEGAL")</f>
        <v>0</v>
      </c>
      <c r="R32" s="258">
        <v>0</v>
      </c>
      <c r="S32" s="237">
        <f>IFERROR((VLOOKUP(R32,AO29:AT33,6,FALSE)),"ILEGAL")</f>
        <v>0</v>
      </c>
      <c r="T32" s="434"/>
      <c r="V32" s="227" t="str">
        <f t="shared" si="4"/>
        <v/>
      </c>
      <c r="W32" s="228" t="str">
        <f t="shared" si="4"/>
        <v/>
      </c>
      <c r="X32" s="222"/>
      <c r="Y32" s="227" t="s">
        <v>1263</v>
      </c>
      <c r="Z32" s="234">
        <v>5</v>
      </c>
      <c r="AA32" s="234">
        <v>2</v>
      </c>
      <c r="AB32" s="234">
        <v>3</v>
      </c>
      <c r="AC32" s="234">
        <v>4</v>
      </c>
      <c r="AD32" s="234">
        <v>6</v>
      </c>
      <c r="AE32" s="238" t="str">
        <f>IF(((COUNTIF(AE29,"A"))+(COUNTIF(AE29,"B"))+(COUNTIF(AE29,"H"))+(COUNTIF(AE29,"I"))+(COUNTIF(AE29,"M")))=1,"Loner (5+)","Loner (4+)")</f>
        <v>Loner (4+)</v>
      </c>
      <c r="AF32" s="238" t="s">
        <v>266</v>
      </c>
      <c r="AG32" s="238" t="s">
        <v>1266</v>
      </c>
      <c r="AH32" s="238" t="s">
        <v>1267</v>
      </c>
      <c r="AI32" s="228">
        <v>30000</v>
      </c>
      <c r="AK32" s="233">
        <v>-1</v>
      </c>
      <c r="AL32" s="234">
        <v>-1</v>
      </c>
      <c r="AM32" s="234">
        <v>1</v>
      </c>
      <c r="AN32" s="234">
        <v>1</v>
      </c>
      <c r="AO32" s="228">
        <v>-1</v>
      </c>
      <c r="AP32" s="233">
        <v>-10000</v>
      </c>
      <c r="AQ32" s="234">
        <v>-10000</v>
      </c>
      <c r="AR32" s="234">
        <v>-10000</v>
      </c>
      <c r="AS32" s="234">
        <v>-10000</v>
      </c>
      <c r="AT32" s="228">
        <v>-10000</v>
      </c>
    </row>
    <row r="33" spans="1:46" s="219" customFormat="1" ht="22.5" customHeight="1">
      <c r="A33" s="239" t="str">
        <f>IF(Roster!$J$24="Italiano","TIPO",(IF(Roster!$J$24="Español","TIPO",(IF(Roster!$J$24="Deutsch","POSITION",(IF(Roster!$J$24="Français","POSTE","TYPE")))))))</f>
        <v>TYPE</v>
      </c>
      <c r="B33" s="240" t="str">
        <f>IF($J$40="Italiano","AVANZAMENTO 1",(IF($J$40="Español","MEJORA 1",(IF($J$40="Deutsch","VERBES-SERUNG 1",(IF($J$40="Français","AMÉLIORATION 1","UPGRADE 1")))))))</f>
        <v>UPGRADE 1</v>
      </c>
      <c r="C33" s="241" t="str">
        <f>IF(Roster!$J$24="Italiano","COSTO",(IF(Roster!$J$24="Español","PRECIO",(IF(Roster!$J$24="Deutsch","WERT",(IF(Roster!$J$24="Français","VALEUR","COST")))))))</f>
        <v>COST</v>
      </c>
      <c r="D33" s="430" t="str">
        <f>IF($J$40="Italiano","AVANZAMENTO 2",(IF($J$40="Español","MEJORA 2",(IF($J$40="Deutsch","VERBES-SERUNG 2",(IF($J$40="Français","AMÉLIORATION 2","UPGRADE 2")))))))</f>
        <v>UPGRADE 2</v>
      </c>
      <c r="E33" s="431"/>
      <c r="F33" s="241" t="str">
        <f>IF(Roster!$J$24="Italiano","COSTO",(IF(Roster!$J$24="Español","PRECIO",(IF(Roster!$J$24="Deutsch","WERT",(IF(Roster!$J$24="Français","VALEUR","COST")))))))</f>
        <v>COST</v>
      </c>
      <c r="G33" s="430" t="str">
        <f>IF($J$40="Italiano","AVANZAMENTO 3",(IF($J$40="Español","MEJORA 3",(IF($J$40="Deutsch","VERBES-SERUNG 3",(IF($J$40="Français","AMÉLIORATION 3","UPGRADE 3")))))))</f>
        <v>UPGRADE 3</v>
      </c>
      <c r="H33" s="431"/>
      <c r="I33" s="218" t="str">
        <f>IF(Roster!$J$24="Italiano","COSTO",(IF(Roster!$J$24="Español","PRECIO",(IF(Roster!$J$24="Deutsch","WERT",(IF(Roster!$J$24="Français","VALEUR","COST")))))))</f>
        <v>COST</v>
      </c>
      <c r="J33" s="430" t="str">
        <f>IF($J$40="Italiano","AVANZAMENTO 4",(IF($J$40="Español","MEJORA 4",(IF($J$40="Deutsch","VERBES-SERUNG 4",(IF($J$40="Français","AMÉLIORATION 4","UPGRADE 4")))))))</f>
        <v>UPGRADE 4</v>
      </c>
      <c r="K33" s="431"/>
      <c r="L33" s="218" t="str">
        <f>IF(Roster!$J$24="Italiano","COSTO",(IF(Roster!$J$24="Español","PRECIO",(IF(Roster!$J$24="Deutsch","WERT",(IF(Roster!$J$24="Français","VALEUR","COST")))))))</f>
        <v>COST</v>
      </c>
      <c r="M33" s="430" t="str">
        <f>IF($J$40="Italiano","AVANZAMENTO 5",(IF($J$40="Español","MEJORA 5",(IF($J$40="Deutsch","VERBES-SERUNG 5",(IF($J$40="Français","AMÉLIORATION 5","UPGRADE 5")))))))</f>
        <v>UPGRADE 5</v>
      </c>
      <c r="N33" s="431"/>
      <c r="O33" s="218" t="str">
        <f>IF(Roster!$J$24="Italiano","COSTO",(IF(Roster!$J$24="Español","PRECIO",(IF(Roster!$J$24="Deutsch","WERT",(IF(Roster!$J$24="Français","VALEUR","COST")))))))</f>
        <v>COST</v>
      </c>
      <c r="P33" s="430" t="str">
        <f>IF($J$40="Italiano","AVANZAMENTO 6",(IF($J$40="Español","MEJORA 6",(IF($J$40="Deutsch","VERBES-SERUNG 6",(IF($J$40="Français","AMÉLIORATION 6","UPGRADE 6")))))))</f>
        <v>UPGRADE 6</v>
      </c>
      <c r="Q33" s="431"/>
      <c r="R33" s="218" t="str">
        <f>IF(Roster!$J$24="Italiano","COSTO",(IF(Roster!$J$24="Español","PRECIO",(IF(Roster!$J$24="Deutsch","WERT",(IF(Roster!$J$24="Français","VALEUR","COST")))))))</f>
        <v>COST</v>
      </c>
      <c r="S33" s="218" t="s">
        <v>1268</v>
      </c>
      <c r="T33" s="434"/>
      <c r="V33" s="227" t="str">
        <f t="shared" si="4"/>
        <v/>
      </c>
      <c r="W33" s="228" t="str">
        <f t="shared" si="4"/>
        <v/>
      </c>
      <c r="X33" s="222"/>
      <c r="Y33" s="227" t="s">
        <v>1269</v>
      </c>
      <c r="Z33" s="234">
        <v>6</v>
      </c>
      <c r="AA33" s="234">
        <v>3</v>
      </c>
      <c r="AB33" s="234">
        <v>3</v>
      </c>
      <c r="AC33" s="234">
        <v>4</v>
      </c>
      <c r="AD33" s="234">
        <v>9</v>
      </c>
      <c r="AE33" s="238" t="str">
        <f>IF(((COUNTIF(AE29,"A"))+(COUNTIF(AE29,"B"))+(COUNTIF(AE29,"H"))+(COUNTIF(AE29,"I"))+(COUNTIF(AE29,"M")))=1,"Loner (5+)","Loner (4+)")</f>
        <v>Loner (4+)</v>
      </c>
      <c r="AF33" s="238" t="str">
        <f>""</f>
        <v/>
      </c>
      <c r="AG33" s="238" t="str">
        <f>""</f>
        <v/>
      </c>
      <c r="AH33" s="238" t="str">
        <f>""</f>
        <v/>
      </c>
      <c r="AI33" s="228">
        <v>50000</v>
      </c>
      <c r="AK33" s="242">
        <v>-2</v>
      </c>
      <c r="AL33" s="243">
        <f>IF(B29="Stunty Superstar",0,-2)</f>
        <v>-2</v>
      </c>
      <c r="AM33" s="243">
        <v>2</v>
      </c>
      <c r="AN33" s="243">
        <v>2</v>
      </c>
      <c r="AO33" s="244">
        <v>-2</v>
      </c>
      <c r="AP33" s="242">
        <v>-20000</v>
      </c>
      <c r="AQ33" s="243">
        <v>-20000</v>
      </c>
      <c r="AR33" s="243">
        <v>-20000</v>
      </c>
      <c r="AS33" s="243">
        <v>-20000</v>
      </c>
      <c r="AT33" s="244">
        <v>-20000</v>
      </c>
    </row>
    <row r="34" spans="1:46" s="219" customFormat="1" ht="22.5" customHeight="1">
      <c r="A34" s="245" t="str">
        <f>IF($J$40="Italiano","GENERALE:",(IF($J$40="Français","GÉNÉRALE:","GENERAL:")))</f>
        <v>GENERAL:</v>
      </c>
      <c r="B34" s="258"/>
      <c r="C34" s="237">
        <f>IF(B34&lt;&gt;"",(IF(B29="Legendary Linemen",20000,(IF(B29="Reliable Ringers",30000,(IF(B29="Mercenaries",0,40000)))))),0)</f>
        <v>0</v>
      </c>
      <c r="D34" s="432"/>
      <c r="E34" s="433"/>
      <c r="F34" s="237" t="str">
        <f>IF(B29&lt;&gt;"Legendary Linemen","ILEGAL",(IF(D34&lt;&gt;"",50000,0)))</f>
        <v>ILEGAL</v>
      </c>
      <c r="G34" s="432"/>
      <c r="H34" s="433"/>
      <c r="I34" s="237" t="str">
        <f>IF(B29&lt;&gt;"Legendary Linemen","ILEGAL",(IF(G34&lt;&gt;"",80000,0)))</f>
        <v>ILEGAL</v>
      </c>
      <c r="J34" s="432"/>
      <c r="K34" s="433"/>
      <c r="L34" s="237" t="str">
        <f>IF(B29&lt;&gt;"Legendary Linemen","ILEGAL",(IF(J34&lt;&gt;"",110000,0)))</f>
        <v>ILEGAL</v>
      </c>
      <c r="M34" s="432"/>
      <c r="N34" s="433"/>
      <c r="O34" s="237" t="str">
        <f>IF(B29&lt;&gt;"Legendary Linemen","ILEGAL",(IF(M34&lt;&gt;"",140000,0)))</f>
        <v>ILEGAL</v>
      </c>
      <c r="P34" s="432"/>
      <c r="Q34" s="433"/>
      <c r="R34" s="237" t="str">
        <f>IF(B29&lt;&gt;"Legendary Linemen","ILEGAL",(IF(P34&lt;&gt;"",170000,0)))</f>
        <v>ILEGAL</v>
      </c>
      <c r="S34" s="237">
        <f>SUM(C34,F34,I34,L34,O34,R34)</f>
        <v>0</v>
      </c>
      <c r="T34" s="434"/>
      <c r="V34" s="227" t="str">
        <f t="shared" si="4"/>
        <v/>
      </c>
      <c r="W34" s="228" t="str">
        <f t="shared" si="4"/>
        <v/>
      </c>
      <c r="X34" s="222"/>
      <c r="Y34" s="227" t="s">
        <v>1270</v>
      </c>
      <c r="Z34" s="234">
        <v>4</v>
      </c>
      <c r="AA34" s="234">
        <v>4</v>
      </c>
      <c r="AB34" s="234">
        <v>4</v>
      </c>
      <c r="AC34" s="234">
        <v>6</v>
      </c>
      <c r="AD34" s="234">
        <v>9</v>
      </c>
      <c r="AE34" s="238" t="str">
        <f>IF(((COUNTIF(AE29,"A"))+(COUNTIF(AE29,"B"))+(COUNTIF(AE29,"H"))+(COUNTIF(AE29,"I"))+(COUNTIF(AE29,"M")))=1,"Loner (5+)","Loner (4+)")</f>
        <v>Loner (4+)</v>
      </c>
      <c r="AF34" s="238" t="str">
        <f>IF(OR(AE29="H",AE29="M"),"Mighty Blow (+2)","")</f>
        <v/>
      </c>
      <c r="AG34" s="238" t="str">
        <f>""</f>
        <v/>
      </c>
      <c r="AH34" s="238" t="str">
        <f>""</f>
        <v/>
      </c>
      <c r="AI34" s="228">
        <v>70000</v>
      </c>
      <c r="AK34" s="222"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19" customFormat="1" ht="22.5" customHeight="1">
      <c r="A35" s="245" t="str">
        <f>IF($J$40="Italiano","FORZA:",(IF($J$40="Español","FUERZA:",(IF($J$40="Français","FORCE:","STRENGTH:")))))</f>
        <v>STRENGTH:</v>
      </c>
      <c r="B35" s="258"/>
      <c r="C35" s="237">
        <f>IF(B35&lt;&gt;"",(IF(B29="Stunty Superstar",0,(IF(B29="Reliable Ringers",50000,(IF(B29="Mercenaries",0,30000)))))),0)</f>
        <v>0</v>
      </c>
      <c r="D35" s="432"/>
      <c r="E35" s="433"/>
      <c r="F35" s="237" t="str">
        <f>IF($B$3&lt;&gt;"Brutal Blockers",(IF($B$3&lt;&gt;"Bona Fide Big Guy","ILEGAL",(IF(D35&lt;&gt;"",70000,0)))),(IF(D35&lt;&gt;"",70000,0)))</f>
        <v>ILEGAL</v>
      </c>
      <c r="G35" s="432"/>
      <c r="H35" s="433"/>
      <c r="I35" s="237" t="str">
        <f>IF($B$3&lt;&gt;"Brutal Blockers",(IF($B$3&lt;&gt;"Bona Fide Big Guy","ILEGAL",(IF(G35&lt;&gt;"",110000,0)))),(IF(G35&lt;&gt;"",110000,0)))</f>
        <v>ILEGAL</v>
      </c>
      <c r="J35" s="432"/>
      <c r="K35" s="433"/>
      <c r="L35" s="237" t="str">
        <f>IF($B$3&lt;&gt;"Brutal Blockers",(IF($B$3&lt;&gt;"Bona Fide Big Guy","ILEGAL",(IF(J35&lt;&gt;"",150000,0)))),(IF(J35&lt;&gt;"",150000,0)))</f>
        <v>ILEGAL</v>
      </c>
      <c r="M35" s="432"/>
      <c r="N35" s="433"/>
      <c r="O35" s="237" t="str">
        <f>IF($B$3&lt;&gt;"Brutal Blockers",(IF($B$3&lt;&gt;"Bona Fide Big Guy","ILEGAL",(IF(M35&lt;&gt;"",190000,0)))),(IF(M35&lt;&gt;"",190000,0)))</f>
        <v>ILEGAL</v>
      </c>
      <c r="P35" s="432"/>
      <c r="Q35" s="433"/>
      <c r="R35" s="237" t="str">
        <f>IF($B$3&lt;&gt;"Brutal Blockers",(IF($B$3&lt;&gt;"Bona Fide Big Guy","ILEGAL",(IF(P35&lt;&gt;"",230000,0)))),(IF(P35&lt;&gt;"",230000,0)))</f>
        <v>ILEGAL</v>
      </c>
      <c r="S35" s="237">
        <f t="shared" ref="S35:S38" si="5">SUM(C35,F35,I35,L35,O35,R35)</f>
        <v>0</v>
      </c>
      <c r="T35" s="434"/>
      <c r="V35" s="227" t="str">
        <f t="shared" si="4"/>
        <v/>
      </c>
      <c r="W35" s="228" t="str">
        <f t="shared" si="4"/>
        <v/>
      </c>
      <c r="X35" s="222"/>
      <c r="Y35" s="227" t="s">
        <v>1271</v>
      </c>
      <c r="Z35" s="234">
        <v>6</v>
      </c>
      <c r="AA35" s="234">
        <v>3</v>
      </c>
      <c r="AB35" s="234">
        <v>2</v>
      </c>
      <c r="AC35" s="234">
        <v>3</v>
      </c>
      <c r="AD35" s="234">
        <v>8</v>
      </c>
      <c r="AE35" s="238" t="str">
        <f>IF(((COUNTIF(AE29,"A"))+(COUNTIF(AE29,"B"))+(COUNTIF(AE29,"H"))+(COUNTIF(AE29,"I"))+(COUNTIF(AE29,"M")))=1,"Loner (5+)","Loner (4+)")</f>
        <v>Loner (4+)</v>
      </c>
      <c r="AF35" s="238" t="str">
        <f>""</f>
        <v/>
      </c>
      <c r="AG35" s="238" t="str">
        <f>""</f>
        <v/>
      </c>
      <c r="AH35" s="238" t="str">
        <f>""</f>
        <v/>
      </c>
      <c r="AI35" s="228">
        <v>70000</v>
      </c>
    </row>
    <row r="36" spans="1:46" s="219" customFormat="1" ht="22.5" customHeight="1">
      <c r="A36" s="245" t="str">
        <f>IF($J$40="Italiano","AGILITÀ:",(IF($J$40="Español","AGILIDAD:",(IF($J$40="Deutsch","AGILITÄT:",(IF($J$40="Français","AGILITÉ:","AGILITY:")))))))</f>
        <v>AGILITY:</v>
      </c>
      <c r="B36" s="258"/>
      <c r="C36" s="237">
        <f>IF(B36&lt;&gt;"",(IF(B29="Stunty Superstar",10000,(IF(B29="Brutal Blockers",40000,(IF(OR(B29="Mercenaries",B29="Bona Fide Big Guy"),0,30000)))))),0)</f>
        <v>0</v>
      </c>
      <c r="D36" s="432"/>
      <c r="E36" s="433"/>
      <c r="F36" s="237" t="str">
        <f>IF($B$3&lt;&gt;"Stunty Superstar",(IF($B$3&lt;&gt;"Reliable Ringers","ILEGAL",(IF(D36&lt;&gt;"",70000,0)))),(IF(D36&lt;&gt;"",30000,0)))</f>
        <v>ILEGAL</v>
      </c>
      <c r="G36" s="432"/>
      <c r="H36" s="433"/>
      <c r="I36" s="237" t="str">
        <f>IF($B$3&lt;&gt;"Stunty Superstar",(IF($B$3&lt;&gt;"Reliable Ringers","ILEGAL",(IF(G36&lt;&gt;"",110000,0)))),(IF(G36&lt;&gt;"",50000,0)))</f>
        <v>ILEGAL</v>
      </c>
      <c r="J36" s="432"/>
      <c r="K36" s="433"/>
      <c r="L36" s="237" t="str">
        <f>IF($B$3&lt;&gt;"Stunty Superstar",(IF($B$3&lt;&gt;"Reliable Ringers","ILEGAL",(IF(J36&lt;&gt;"",150000,0)))),(IF(J36&lt;&gt;"",70000,0)))</f>
        <v>ILEGAL</v>
      </c>
      <c r="M36" s="432"/>
      <c r="N36" s="433"/>
      <c r="O36" s="237" t="str">
        <f>IF($B$3&lt;&gt;"Stunty Superstar",(IF($B$3&lt;&gt;"Reliable Ringers","ILEGAL",(IF(M36&lt;&gt;"",190000,0)))),(IF(M36&lt;&gt;"",90000,0)))</f>
        <v>ILEGAL</v>
      </c>
      <c r="P36" s="432"/>
      <c r="Q36" s="433"/>
      <c r="R36" s="237" t="str">
        <f>IF($B$3&lt;&gt;"Stunty Superstar",(IF($B$3&lt;&gt;"Reliable Ringers","ILEGAL",(IF(P36&lt;&gt;"",230000,0)))),(IF(P36&lt;&gt;"",110000,0)))</f>
        <v>ILEGAL</v>
      </c>
      <c r="S36" s="237">
        <f t="shared" si="5"/>
        <v>0</v>
      </c>
      <c r="T36" s="434"/>
      <c r="V36" s="230" t="str">
        <f t="shared" si="4"/>
        <v/>
      </c>
      <c r="W36" s="244" t="str">
        <f t="shared" si="4"/>
        <v/>
      </c>
      <c r="X36" s="222"/>
      <c r="Y36" s="230" t="s">
        <v>1272</v>
      </c>
      <c r="Z36" s="243">
        <v>4</v>
      </c>
      <c r="AA36" s="243">
        <v>5</v>
      </c>
      <c r="AB36" s="243">
        <v>4</v>
      </c>
      <c r="AC36" s="243">
        <v>5</v>
      </c>
      <c r="AD36" s="243">
        <v>9</v>
      </c>
      <c r="AE36" s="231" t="str">
        <f>IF(((COUNTIF(AE29,"A"))+(COUNTIF(AE29,"B"))+(COUNTIF(AE29,"H"))+(COUNTIF(AE29,"I"))+(COUNTIF(AE29,"M")))=1,"Loner (5+)","Loner (4+)")</f>
        <v>Loner (4+)</v>
      </c>
      <c r="AF36" s="231" t="str">
        <f>IF(OR(AE29="J",AE29="K",AE29="L",AE29="M",AE29="N"),"","Bone Head")</f>
        <v>Bone Head</v>
      </c>
      <c r="AG36" s="231" t="str">
        <f>IF(OR(AE29="H",AE29="M"),"Mighty Blow (+2)","Mighty Blow (+1)")</f>
        <v>Mighty Blow (+1)</v>
      </c>
      <c r="AH36" s="231" t="str">
        <f>IF(OR(AE29="K",AE29="L"),"","Throw Team Mate")</f>
        <v>Throw Team Mate</v>
      </c>
      <c r="AI36" s="244">
        <v>130000</v>
      </c>
    </row>
    <row r="37" spans="1:46" s="219" customFormat="1" ht="22.5" customHeight="1">
      <c r="A37" s="245" t="str">
        <f>IF($J$40="Español","PASE:",(IF($J$40="Français","PASSER:","PASS:")))</f>
        <v>PASS:</v>
      </c>
      <c r="B37" s="258"/>
      <c r="C37" s="237">
        <f>IF(B37&lt;&gt;"",(IF(B29="Mercenaries",0,(IF(OR(B29="Reliable Ringers",B29="Bona Fide Big Guy"),30000,20000)))),0)</f>
        <v>0</v>
      </c>
      <c r="D37" s="432"/>
      <c r="E37" s="433"/>
      <c r="F37" s="237" t="s">
        <v>1273</v>
      </c>
      <c r="G37" s="432"/>
      <c r="H37" s="433"/>
      <c r="I37" s="237" t="s">
        <v>1273</v>
      </c>
      <c r="J37" s="432"/>
      <c r="K37" s="433"/>
      <c r="L37" s="237" t="s">
        <v>1273</v>
      </c>
      <c r="M37" s="432"/>
      <c r="N37" s="433"/>
      <c r="O37" s="237" t="s">
        <v>1273</v>
      </c>
      <c r="P37" s="432"/>
      <c r="Q37" s="433"/>
      <c r="R37" s="237" t="s">
        <v>1273</v>
      </c>
      <c r="S37" s="237">
        <f t="shared" si="5"/>
        <v>0</v>
      </c>
      <c r="T37" s="434"/>
      <c r="V37" s="222"/>
      <c r="W37" s="222"/>
      <c r="X37" s="222"/>
      <c r="Y37" s="222"/>
      <c r="Z37" s="222"/>
      <c r="AA37" s="222"/>
      <c r="AB37" s="222"/>
      <c r="AC37" s="222"/>
      <c r="AD37" s="222"/>
      <c r="AE37" s="222"/>
      <c r="AF37" s="222"/>
      <c r="AG37" s="222"/>
      <c r="AH37" s="222"/>
      <c r="AI37" s="222"/>
    </row>
    <row r="38" spans="1:46" s="219" customFormat="1" ht="22.5" customHeight="1">
      <c r="A38" s="218" t="str">
        <f>IF($J$40="Italiano","MUTAZIONE:",(IF($J$40="Español","MUTACIÓN:","MUTATION:")))</f>
        <v>MUTATION:</v>
      </c>
      <c r="B38" s="258"/>
      <c r="C38" s="237">
        <f>IF(B29="Stunty Superstar","ILEGAL",(IF(B38&lt;&gt;"",(IF(B29="Mercenaries",0,(IF(OR(B29="Brutal Blockers",B29="Bona Fide Big Guy"),40000,IF(B29="Legendary Linemen",30000,(IF(B38="Big Hand",30000,(IF(B38="Extra Arms",20000,(IF(B38="Two Heads",30000,(IF(B38="Very Long Legs",30000,0))))))))))))),0)))</f>
        <v>0</v>
      </c>
      <c r="D38" s="432"/>
      <c r="E38" s="433"/>
      <c r="F38" s="237" t="str">
        <f>IF(OR($B$3="Stunty Superstar",$B$3="Brutal Blockers",$B$3="Bona Fide Big Guy",$B$3="Mercenaries"),"ILEGAL",(IF(D38&lt;&gt;"",(IF($B$3="Legendary Linemen",70000,(IF(D38="Big Hand",30000,(IF(D38="Extra Arms",20000,(IF(D38="Two Heads",30000,(IF(D38="Very Long Legs",30000,"ILEGAL")))))))))),0)))</f>
        <v>ILEGAL</v>
      </c>
      <c r="G38" s="432"/>
      <c r="H38" s="433"/>
      <c r="I38" s="237" t="str">
        <f>IF(OR($B$3="Stunty Superstar",$B$3="Brutal Blockers",$B$3="Bona Fide Big Guy",$B$3="Mercenaries"),"ILEGAL",(IF(G38&lt;&gt;"",(IF($B$3="Legendary Linemen",110000,(IF(G38="Big Hand",30000,(IF(G38="Extra Arms",20000,(IF(G38="Two Heads",30000,(IF(G38="Very Long Legs",30000,0)))))))))),0)))</f>
        <v>ILEGAL</v>
      </c>
      <c r="J38" s="432"/>
      <c r="K38" s="433"/>
      <c r="L38" s="237" t="str">
        <f>IF(OR($B$3="Stunty Superstar",$B$3="Brutal Blockers",$B$3="Bona Fide Big Guy",$B$3="Mercenaries"),"ILEGAL",(IF(J38&lt;&gt;"",(IF($B$3="Legendary Linemen",150000,(IF(J38="Big Hand",30000,(IF(J38="Extra Arms",20000,(IF(J38="Two Heads",30000,(IF(J38="Very Long Legs",30000,0)))))))))),0)))</f>
        <v>ILEGAL</v>
      </c>
      <c r="M38" s="432"/>
      <c r="N38" s="433"/>
      <c r="O38" s="237" t="str">
        <f>IF(B29&lt;&gt;"Legendary Linemen","ILEGAL",(IF(M38&lt;&gt;"",190000,0)))</f>
        <v>ILEGAL</v>
      </c>
      <c r="P38" s="432"/>
      <c r="Q38" s="433"/>
      <c r="R38" s="237" t="str">
        <f>IF(B29&lt;&gt;"Legendary Linemen","ILEGAL",(IF(P38&lt;&gt;"",230000,0)))</f>
        <v>ILEGAL</v>
      </c>
      <c r="S38" s="237">
        <f t="shared" si="5"/>
        <v>0</v>
      </c>
      <c r="T38" s="434"/>
      <c r="V38" s="246" t="s">
        <v>1268</v>
      </c>
      <c r="W38" s="247">
        <f>SUM(Y38:AI38)</f>
        <v>0</v>
      </c>
      <c r="X38" s="247"/>
      <c r="Y38" s="247">
        <f>IF(K32="ILEGAL",0,K32)</f>
        <v>0</v>
      </c>
      <c r="Z38" s="247">
        <f>IF(M32="ILEGAL",0,M32)</f>
        <v>0</v>
      </c>
      <c r="AA38" s="247">
        <f>IF(O32="ILEGAL",0,O32)</f>
        <v>0</v>
      </c>
      <c r="AB38" s="247">
        <f>IF(Q32="ILEGAL",0,Q32)</f>
        <v>0</v>
      </c>
      <c r="AC38" s="247">
        <f>IF(S32="ILEGAL",0,S32)</f>
        <v>0</v>
      </c>
      <c r="AD38" s="247">
        <f>I32</f>
        <v>0</v>
      </c>
      <c r="AE38" s="247">
        <f>S34</f>
        <v>0</v>
      </c>
      <c r="AF38" s="247">
        <f>S35</f>
        <v>0</v>
      </c>
      <c r="AG38" s="247">
        <f>S36</f>
        <v>0</v>
      </c>
      <c r="AH38" s="247">
        <f>S37</f>
        <v>0</v>
      </c>
      <c r="AI38" s="248">
        <f>S38</f>
        <v>0</v>
      </c>
    </row>
    <row r="39" spans="1:46" ht="15" customHeight="1">
      <c r="A39" s="434"/>
      <c r="B39" s="434"/>
      <c r="C39" s="434"/>
      <c r="D39" s="434"/>
      <c r="E39" s="434"/>
      <c r="F39" s="434"/>
      <c r="G39" s="434"/>
      <c r="H39" s="434"/>
      <c r="I39" s="434"/>
      <c r="J39" s="434"/>
      <c r="K39" s="434"/>
      <c r="L39" s="434"/>
      <c r="M39" s="434"/>
      <c r="N39" s="434"/>
      <c r="O39" s="434"/>
      <c r="P39" s="434"/>
      <c r="Q39" s="434"/>
      <c r="R39" s="434"/>
      <c r="S39" s="434"/>
      <c r="T39" s="434"/>
      <c r="W39" s="216"/>
      <c r="X39" s="216"/>
      <c r="Y39" s="216"/>
    </row>
    <row r="40" spans="1:46" ht="12.75" hidden="1" customHeight="1">
      <c r="W40" s="216"/>
      <c r="X40" s="216"/>
      <c r="Y40" s="216"/>
    </row>
    <row r="41" spans="1:46" ht="12.75" hidden="1" customHeight="1">
      <c r="C41" s="438" t="s">
        <v>1274</v>
      </c>
      <c r="D41" s="439"/>
      <c r="F41" s="438" t="s">
        <v>1275</v>
      </c>
      <c r="G41" s="439"/>
      <c r="I41" s="438" t="s">
        <v>1276</v>
      </c>
      <c r="J41" s="439"/>
      <c r="L41" s="438" t="s">
        <v>1277</v>
      </c>
      <c r="M41" s="439"/>
      <c r="N41" s="253"/>
      <c r="O41" s="438" t="s">
        <v>1278</v>
      </c>
      <c r="P41" s="439"/>
      <c r="R41" s="238" t="s">
        <v>1279</v>
      </c>
      <c r="S41" s="238" t="s">
        <v>193</v>
      </c>
      <c r="T41" s="238" t="s">
        <v>1280</v>
      </c>
      <c r="U41" s="238" t="s">
        <v>1281</v>
      </c>
      <c r="V41" s="238" t="str">
        <f>""</f>
        <v/>
      </c>
      <c r="W41" s="238" t="str">
        <f>""</f>
        <v/>
      </c>
      <c r="X41" s="238" t="str">
        <f>""</f>
        <v/>
      </c>
      <c r="Y41" s="216"/>
    </row>
    <row r="42" spans="1:46" ht="12.75" hidden="1" customHeight="1">
      <c r="A42" s="235"/>
      <c r="B42" s="254"/>
      <c r="C42" s="227"/>
      <c r="D42" s="228">
        <v>0</v>
      </c>
      <c r="E42" s="234"/>
      <c r="F42" s="227"/>
      <c r="G42" s="228">
        <v>0</v>
      </c>
      <c r="H42" s="234"/>
      <c r="I42" s="227"/>
      <c r="J42" s="228">
        <v>0</v>
      </c>
      <c r="K42" s="234"/>
      <c r="L42" s="227"/>
      <c r="M42" s="228">
        <v>0</v>
      </c>
      <c r="N42" s="234"/>
      <c r="O42" s="227"/>
      <c r="P42" s="228">
        <v>0</v>
      </c>
      <c r="R42" s="238" t="s">
        <v>1282</v>
      </c>
      <c r="S42" s="238" t="s">
        <v>1283</v>
      </c>
      <c r="T42" s="238" t="s">
        <v>1284</v>
      </c>
      <c r="U42" s="238" t="s">
        <v>1281</v>
      </c>
      <c r="V42" s="238" t="str">
        <f>""</f>
        <v/>
      </c>
      <c r="W42" s="238" t="str">
        <f>""</f>
        <v/>
      </c>
      <c r="X42" s="238" t="str">
        <f>""</f>
        <v/>
      </c>
      <c r="Y42" s="216"/>
    </row>
    <row r="43" spans="1:46" ht="12.75" hidden="1" customHeight="1">
      <c r="A43" s="235"/>
      <c r="B43" s="228"/>
      <c r="C43" s="227" t="str">
        <f>IF(Roster!$BU$2&lt;&gt;"SylvanianSpotlight",(IF(Roster!$BU$2&lt;&gt;"ElvenKingdomsLeague",(IF(Roster!$BU$2&lt;&gt;"Favouredof","Dirty Player (+1), Sneaky Git, Loner (5+)","")),"")),"")</f>
        <v/>
      </c>
      <c r="D43" s="228">
        <v>50000</v>
      </c>
      <c r="E43" s="234"/>
      <c r="F43" s="227" t="s">
        <v>1279</v>
      </c>
      <c r="G43" s="228">
        <v>70000</v>
      </c>
      <c r="H43" s="234"/>
      <c r="I43" s="227" t="str">
        <f>IF(Roster!$BU$2&lt;&gt;"Favouredof",(IF(Roster!$BU$2&lt;&gt;"ElvenKingdomsLeague",(IF(Roster!$BU$2&lt;&gt;"SylvanianSpotlight",(IF(Roster!$BU$2&lt;&gt;"UnderworldChallenge","Dirty Player (+1), Sneaky Git, Loner (5+)","")),"")),"")),"")</f>
        <v/>
      </c>
      <c r="J43" s="228">
        <v>70000</v>
      </c>
      <c r="K43" s="234"/>
      <c r="L43" s="227" t="str">
        <f>IF(Roster!$BU$2&lt;&gt;"LustrianSuperleague",(IF(Roster!$BU$2&lt;&gt;"BadlandsBrawl",(IF(Roster!$BU$2&lt;&gt;"OldWorldClassicWorldsEdgeSuperleague",(IF(Roster!$BU$2&lt;&gt;"OldWorldClassic",(IF(Roster!$BU$2&lt;&gt;"LustrianSuperleagueOldWorldClassic",(IF(Roster!$BU$2&lt;&gt;"BadlandsBrawlOldWorldClassic","Hypnotic Gaze, Loner (5+)","")),"")),"")),"")),"")),"")</f>
        <v>Hypnotic Gaze, Loner (5+)</v>
      </c>
      <c r="M43" s="228">
        <v>70000</v>
      </c>
      <c r="N43" s="234"/>
      <c r="O43" s="227" t="s">
        <v>1285</v>
      </c>
      <c r="P43" s="228">
        <v>-10000</v>
      </c>
      <c r="R43" s="238" t="s">
        <v>1286</v>
      </c>
      <c r="S43" s="238" t="s">
        <v>1287</v>
      </c>
      <c r="T43" s="238" t="s">
        <v>450</v>
      </c>
      <c r="U43" s="238" t="s">
        <v>1288</v>
      </c>
      <c r="V43" s="238" t="str">
        <f>""</f>
        <v/>
      </c>
      <c r="W43" s="238" t="str">
        <f>""</f>
        <v/>
      </c>
      <c r="X43" s="238" t="str">
        <f>""</f>
        <v/>
      </c>
      <c r="Y43" s="216"/>
    </row>
    <row r="44" spans="1:46" ht="12.75" hidden="1" customHeight="1">
      <c r="A44" s="235"/>
      <c r="B44" s="228"/>
      <c r="C44" s="227"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44" s="228">
        <v>80000</v>
      </c>
      <c r="E44" s="255"/>
      <c r="F44" s="227" t="str">
        <f>IF(Roster!$BU$2&lt;&gt;"LustrianSuperleague",(IF(Roster!$BU$2&lt;&gt;"ElvenKingdomsLeague","Dirty Player (+2), Sneaky Git, Loner (5+)","")),"")</f>
        <v/>
      </c>
      <c r="G44" s="228">
        <v>90000</v>
      </c>
      <c r="H44" s="255"/>
      <c r="I44" s="227"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44" s="228">
        <v>100000</v>
      </c>
      <c r="K44" s="255"/>
      <c r="L44" s="227"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Stab, Secret Weapon</v>
      </c>
      <c r="M44" s="228">
        <v>20000</v>
      </c>
      <c r="N44" s="255"/>
      <c r="O44" s="227" t="str">
        <f>IF(Roster!$BU$2&lt;&gt;"LustrianSuperleague",(IF(Roster!$BU$2&lt;&gt;"ElvenKingdomsLeague",(IF(Roster!$BU$2&lt;&gt;"SylvanianSpotlight","Frenzy, Unchannelled Fury, Horns, -Throw Team Mate, -Bone Head","")),"")),"")</f>
        <v/>
      </c>
      <c r="P44" s="228">
        <v>20000</v>
      </c>
      <c r="R44" s="238" t="s">
        <v>1289</v>
      </c>
      <c r="S44" s="238" t="s">
        <v>1290</v>
      </c>
      <c r="T44" s="238" t="s">
        <v>1291</v>
      </c>
      <c r="U44" s="238" t="s">
        <v>1288</v>
      </c>
      <c r="V44" s="238" t="str">
        <f>""</f>
        <v/>
      </c>
      <c r="W44" s="238" t="str">
        <f>""</f>
        <v/>
      </c>
      <c r="X44" s="238" t="str">
        <f>""</f>
        <v/>
      </c>
      <c r="Y44" s="216"/>
    </row>
    <row r="45" spans="1:46" ht="12.75" hidden="1" customHeight="1">
      <c r="A45" s="235"/>
      <c r="B45" s="228"/>
      <c r="C45" s="227" t="str">
        <f>IF(Roster!$BU$2&lt;&gt;"LustrianSuperleague",(IF(Roster!$BU$2&lt;&gt;"ElvenKingdomsLeague",(IF(Roster!$BU$2&lt;&gt;"Favouredof","Bombardier, Secret Weapon","")),"")),"")</f>
        <v/>
      </c>
      <c r="D45" s="228">
        <v>40000</v>
      </c>
      <c r="E45" s="234"/>
      <c r="F45" s="227" t="str">
        <f>IF(Roster!$BU$2&lt;&gt;"LustrianSuperleague",(IF(Roster!$BU$2&lt;&gt;"ElvenKingdomsLeague","Bombardier, Secret Weapon","")),"")</f>
        <v/>
      </c>
      <c r="G45" s="228">
        <v>40000</v>
      </c>
      <c r="H45" s="234"/>
      <c r="I45" s="227" t="str">
        <f>IF(Roster!$BU$2&lt;&gt;"ElvenKingdomsLeague",(IF(Roster!$BU$2&lt;&gt;"UnderworldChallenge","Mighty Blow (+2), Loner (5+)","")),"")</f>
        <v/>
      </c>
      <c r="J45" s="228">
        <v>70000</v>
      </c>
      <c r="K45" s="234"/>
      <c r="L45" s="227" t="str">
        <f>""</f>
        <v/>
      </c>
      <c r="M45" s="228">
        <v>0</v>
      </c>
      <c r="N45" s="234"/>
      <c r="O45" s="256" t="str">
        <f>IF(Roster!$BU$2&lt;&gt;"OldWorldClassicWorldsEdgeSuperleague",(IF(Roster!$BU$2&lt;&gt;"ElvenKingdomsLeague",(IF(Roster!$BU$2&lt;&gt;"HalflingThimbleCupOldWorldClassic",(IF(Roster!$BU$2&lt;&gt;"OldWorldClassic","Frenzy, Animal Savagery, Claw, Prehensile Tail, -Throw Team Mate, -Bone Head","")),"")),"")),"")</f>
        <v/>
      </c>
      <c r="P45" s="228">
        <v>20000</v>
      </c>
      <c r="R45" s="238" t="s">
        <v>1292</v>
      </c>
      <c r="S45" s="238" t="s">
        <v>1293</v>
      </c>
      <c r="T45" s="238" t="s">
        <v>1294</v>
      </c>
      <c r="U45" s="238" t="s">
        <v>1295</v>
      </c>
      <c r="V45" s="238" t="s">
        <v>1288</v>
      </c>
      <c r="W45" s="238" t="str">
        <f>""</f>
        <v/>
      </c>
      <c r="X45" s="238" t="str">
        <f>""</f>
        <v/>
      </c>
      <c r="Y45" s="216"/>
    </row>
    <row r="46" spans="1:46" ht="12.75" hidden="1" customHeight="1">
      <c r="A46" s="235"/>
      <c r="B46" s="228"/>
      <c r="C46" s="227" t="str">
        <f>IF(Roster!$BU$2&lt;&gt;"ElvenKingdomsLeague",(IF(Roster!$BU$2&lt;&gt;"Favouredof","Stab, Secret Weapon","")),"")</f>
        <v/>
      </c>
      <c r="D46" s="228">
        <v>20000</v>
      </c>
      <c r="E46" s="234"/>
      <c r="F46" s="227" t="str">
        <f>IF(Roster!$BU$2&lt;&gt;"Favouredof","Stab, Secret Weapon","")</f>
        <v>Stab, Secret Weapon</v>
      </c>
      <c r="G46" s="228">
        <v>20000</v>
      </c>
      <c r="H46" s="234"/>
      <c r="I46" s="227" t="str">
        <f>IF(Roster!$BU$2&lt;&gt;"ElvenKingdomsLeague",(IF(Roster!$BU$2&lt;&gt;"Favouredof","Stab, Secret Weapon","")),"")</f>
        <v/>
      </c>
      <c r="J46" s="228">
        <v>20000</v>
      </c>
      <c r="K46" s="234"/>
      <c r="L46" s="227" t="str">
        <f>""</f>
        <v/>
      </c>
      <c r="M46" s="228">
        <v>0</v>
      </c>
      <c r="N46" s="234"/>
      <c r="O46" s="227" t="s">
        <v>1296</v>
      </c>
      <c r="P46" s="228">
        <v>50000</v>
      </c>
      <c r="R46" s="238" t="s">
        <v>1297</v>
      </c>
      <c r="S46" s="238" t="s">
        <v>1298</v>
      </c>
      <c r="T46" s="238" t="s">
        <v>1297</v>
      </c>
      <c r="U46" s="238" t="str">
        <f>""</f>
        <v/>
      </c>
      <c r="V46" s="238" t="str">
        <f>""</f>
        <v/>
      </c>
      <c r="W46" s="238" t="str">
        <f>""</f>
        <v/>
      </c>
      <c r="X46" s="238" t="str">
        <f>""</f>
        <v/>
      </c>
      <c r="Y46" s="216"/>
    </row>
    <row r="47" spans="1:46" ht="12.75" hidden="1" customHeight="1">
      <c r="A47" s="235"/>
      <c r="B47" s="228"/>
      <c r="C47" s="227" t="str">
        <f>IF(Roster!$BU$2&lt;&gt;"ElvenKingdomsLeague",(IF(Roster!$BU$2&lt;&gt;"Favouredof","Chainsaw, No Hands, Secret Weapon","")),"")</f>
        <v/>
      </c>
      <c r="D47" s="228">
        <v>70000</v>
      </c>
      <c r="E47" s="219"/>
      <c r="F47" s="227" t="s">
        <v>1292</v>
      </c>
      <c r="G47" s="228">
        <v>70000</v>
      </c>
      <c r="H47" s="219"/>
      <c r="I47" s="227" t="str">
        <f>IF(Roster!$BU$2&lt;&gt;"LustrianSuperleague",(IF(Roster!$BU$2&lt;&gt;"ElvenKingdomsLeague",(IF(Roster!$BU$2&lt;&gt;"HalflingThimbleCupOldWorldClassic",(IF(Roster!$BU$2&lt;&gt;"OldWorldClassic",(IF(Roster!$BU$2&lt;&gt;"LustrianSuperleagueOldWorldClassic","Ball &amp; Chain, Secret Weapon, No Hands, +2ST, -1MA","")),"")),"")),"")),"")</f>
        <v/>
      </c>
      <c r="J47" s="228">
        <v>90000</v>
      </c>
      <c r="K47" s="219"/>
      <c r="L47" s="227" t="str">
        <f>""</f>
        <v/>
      </c>
      <c r="M47" s="228">
        <v>0</v>
      </c>
      <c r="N47" s="219"/>
      <c r="O47" s="227" t="str">
        <f>IF(Roster!$BU$2&lt;&gt;"SylvanianSpotlight",(IF(Roster!$BU$2&lt;&gt;"ElvenKingdomsLeague","Ball &amp; Chain, No hands, Really Stupid, Secret Weapon, +2ST, -Bone Head, -1MA","")),"")</f>
        <v/>
      </c>
      <c r="P47" s="228">
        <v>80000</v>
      </c>
      <c r="R47" s="238" t="s">
        <v>1299</v>
      </c>
      <c r="S47" s="238" t="s">
        <v>192</v>
      </c>
      <c r="T47" s="238" t="s">
        <v>1300</v>
      </c>
      <c r="U47" s="238" t="s">
        <v>1288</v>
      </c>
      <c r="V47" s="238" t="s">
        <v>1295</v>
      </c>
      <c r="W47" s="238" t="str">
        <f>""</f>
        <v/>
      </c>
      <c r="X47" s="238" t="str">
        <f>"+3ST, -2MA"</f>
        <v>+3ST, -2MA</v>
      </c>
      <c r="Y47" s="216"/>
    </row>
    <row r="48" spans="1:46" ht="12.75" hidden="1" customHeight="1">
      <c r="A48" s="235"/>
      <c r="B48" s="228"/>
      <c r="C48" s="227" t="str">
        <f>IF(Roster!$BU$2&lt;&gt;"OldWorldClassic",(IF(Roster!$BU$2&lt;&gt;"ElvenKingdomsLeague",(IF(Roster!$BU$2&lt;&gt;"Favouredof",(IF(Roster!$BU$2&lt;&gt;"OldWorldClassicWorldsEdgeSuperleague","Pogo Stick","")),"")),"")),"")</f>
        <v/>
      </c>
      <c r="D48" s="228">
        <v>50000</v>
      </c>
      <c r="E48" s="257"/>
      <c r="F48" s="227" t="str">
        <f>""</f>
        <v/>
      </c>
      <c r="G48" s="228">
        <v>0</v>
      </c>
      <c r="H48" s="257"/>
      <c r="I48" s="227"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48" s="228">
        <v>70000</v>
      </c>
      <c r="K48" s="257"/>
      <c r="L48" s="227" t="str">
        <f>""</f>
        <v/>
      </c>
      <c r="M48" s="228">
        <v>0</v>
      </c>
      <c r="N48" s="257"/>
      <c r="O48" s="227" t="str">
        <f>""</f>
        <v/>
      </c>
      <c r="P48" s="228">
        <v>0</v>
      </c>
      <c r="R48" s="238" t="s">
        <v>1301</v>
      </c>
      <c r="S48" s="238" t="s">
        <v>1302</v>
      </c>
      <c r="T48" s="238" t="s">
        <v>1300</v>
      </c>
      <c r="U48" s="238" t="s">
        <v>1288</v>
      </c>
      <c r="V48" s="238" t="s">
        <v>1295</v>
      </c>
      <c r="W48" s="238" t="str">
        <f>""</f>
        <v/>
      </c>
      <c r="X48" s="238" t="str">
        <f>"+2ST, -1MA"</f>
        <v>+2ST, -1MA</v>
      </c>
      <c r="Y48" s="216"/>
    </row>
    <row r="49" spans="1:25" ht="12.75" hidden="1" customHeight="1">
      <c r="A49" s="235"/>
      <c r="B49" s="228"/>
      <c r="C49" s="230"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49" s="244">
        <v>70000</v>
      </c>
      <c r="E49" s="257"/>
      <c r="F49" s="230" t="str">
        <f>""</f>
        <v/>
      </c>
      <c r="G49" s="244">
        <v>0</v>
      </c>
      <c r="H49" s="257"/>
      <c r="I49" s="230" t="str">
        <f>""</f>
        <v/>
      </c>
      <c r="J49" s="244">
        <v>0</v>
      </c>
      <c r="K49" s="257"/>
      <c r="L49" s="230" t="str">
        <f>""</f>
        <v/>
      </c>
      <c r="M49" s="244">
        <v>0</v>
      </c>
      <c r="N49" s="257"/>
      <c r="O49" s="230" t="str">
        <f>""</f>
        <v/>
      </c>
      <c r="P49" s="244">
        <v>0</v>
      </c>
      <c r="R49" s="238" t="s">
        <v>1303</v>
      </c>
      <c r="S49" s="238" t="s">
        <v>1304</v>
      </c>
      <c r="T49" s="238" t="str">
        <f>""</f>
        <v/>
      </c>
      <c r="U49" s="238" t="str">
        <f>""</f>
        <v/>
      </c>
      <c r="V49" s="238" t="str">
        <f>""</f>
        <v/>
      </c>
      <c r="W49" s="238" t="str">
        <f>""</f>
        <v/>
      </c>
      <c r="X49" s="238" t="str">
        <f>""</f>
        <v/>
      </c>
      <c r="Y49" s="216"/>
    </row>
    <row r="50" spans="1:25" ht="12.75" hidden="1" customHeight="1">
      <c r="A50" s="235"/>
      <c r="D50" s="219"/>
      <c r="E50" s="219"/>
      <c r="F50" s="219"/>
      <c r="G50" s="219"/>
      <c r="H50" s="219"/>
      <c r="R50" s="238" t="s">
        <v>1305</v>
      </c>
      <c r="S50" s="238" t="s">
        <v>1306</v>
      </c>
      <c r="T50" s="238" t="s">
        <v>1307</v>
      </c>
      <c r="U50" s="238" t="str">
        <f>""</f>
        <v/>
      </c>
      <c r="V50" s="238" t="str">
        <f>""</f>
        <v/>
      </c>
      <c r="W50" s="238" t="str">
        <f>""</f>
        <v/>
      </c>
      <c r="X50" s="238" t="str">
        <f>""</f>
        <v/>
      </c>
      <c r="Y50" s="216"/>
    </row>
    <row r="51" spans="1:25" ht="12.75" hidden="1" customHeight="1">
      <c r="A51" s="235"/>
      <c r="Q51" s="219"/>
      <c r="R51" s="238" t="s">
        <v>1285</v>
      </c>
      <c r="S51" s="238" t="s">
        <v>1308</v>
      </c>
      <c r="T51" s="238" t="s">
        <v>1309</v>
      </c>
      <c r="U51" s="238" t="s">
        <v>1310</v>
      </c>
      <c r="V51" s="238" t="s">
        <v>1311</v>
      </c>
      <c r="W51" s="238" t="s">
        <v>574</v>
      </c>
      <c r="X51" s="238" t="str">
        <f>" -Bone Head, +1AG"</f>
        <v xml:space="preserve"> -Bone Head, +1AG</v>
      </c>
      <c r="Y51" s="216"/>
    </row>
    <row r="52" spans="1:25" ht="12.75" hidden="1" customHeight="1">
      <c r="A52" s="235"/>
      <c r="Q52" s="219"/>
      <c r="R52" s="238" t="s">
        <v>1312</v>
      </c>
      <c r="S52" s="238" t="s">
        <v>1313</v>
      </c>
      <c r="T52" s="238" t="s">
        <v>383</v>
      </c>
      <c r="U52" s="238" t="s">
        <v>1314</v>
      </c>
      <c r="V52" s="238" t="s">
        <v>310</v>
      </c>
      <c r="W52" s="238" t="str">
        <f>""</f>
        <v/>
      </c>
      <c r="X52" s="238" t="str">
        <f>"-Throw Team Mate, -Bone Head"</f>
        <v>-Throw Team Mate, -Bone Head</v>
      </c>
      <c r="Y52" s="216"/>
    </row>
    <row r="53" spans="1:25" ht="12.75" hidden="1" customHeight="1">
      <c r="A53" s="235"/>
      <c r="Q53" s="219"/>
      <c r="R53" s="238" t="s">
        <v>1315</v>
      </c>
      <c r="S53" s="238" t="s">
        <v>1316</v>
      </c>
      <c r="T53" s="238" t="s">
        <v>383</v>
      </c>
      <c r="U53" s="238" t="s">
        <v>1317</v>
      </c>
      <c r="V53" s="238" t="s">
        <v>1318</v>
      </c>
      <c r="W53" s="238" t="s">
        <v>1319</v>
      </c>
      <c r="X53" s="238" t="str">
        <f>"-Throw Team Mate, -Bone Head"</f>
        <v>-Throw Team Mate, -Bone Head</v>
      </c>
      <c r="Y53" s="216"/>
    </row>
    <row r="54" spans="1:25" ht="12.75" hidden="1" customHeight="1">
      <c r="A54" s="235"/>
      <c r="Q54" s="219"/>
      <c r="R54" s="238" t="s">
        <v>1296</v>
      </c>
      <c r="S54" s="238" t="s">
        <v>196</v>
      </c>
      <c r="T54" s="238" t="str">
        <f>""</f>
        <v/>
      </c>
      <c r="U54" s="238" t="str">
        <f>""</f>
        <v/>
      </c>
      <c r="V54" s="238" t="str">
        <f>""</f>
        <v/>
      </c>
      <c r="W54" s="238" t="str">
        <f>""</f>
        <v/>
      </c>
      <c r="X54" s="238" t="str">
        <f>"-Bone Head"</f>
        <v>-Bone Head</v>
      </c>
      <c r="Y54" s="216"/>
    </row>
    <row r="55" spans="1:25" ht="12.75" hidden="1" customHeight="1">
      <c r="A55" s="235"/>
      <c r="R55" s="238" t="s">
        <v>1320</v>
      </c>
      <c r="S55" s="238" t="s">
        <v>1321</v>
      </c>
      <c r="T55" s="238" t="s">
        <v>1300</v>
      </c>
      <c r="U55" s="238" t="s">
        <v>1322</v>
      </c>
      <c r="V55" s="238" t="s">
        <v>1311</v>
      </c>
      <c r="W55" s="238" t="s">
        <v>1288</v>
      </c>
      <c r="X55" s="238" t="str">
        <f>"+2ST, -Bone Head, -1MA"</f>
        <v>+2ST, -Bone Head, -1MA</v>
      </c>
      <c r="Y55" s="216"/>
    </row>
    <row r="56" spans="1:25" ht="12.75" hidden="1" customHeight="1">
      <c r="A56" s="235"/>
      <c r="S56" s="217" t="str">
        <f>""</f>
        <v/>
      </c>
      <c r="T56" s="253"/>
      <c r="U56" s="238"/>
      <c r="W56" s="216"/>
      <c r="X56" s="216"/>
      <c r="Y56" s="216"/>
    </row>
    <row r="57" spans="1:25" ht="12.75" hidden="1" customHeight="1">
      <c r="T57" s="253"/>
      <c r="U57" s="253"/>
      <c r="V57" s="217" t="str">
        <f>""</f>
        <v/>
      </c>
    </row>
    <row r="58" spans="1:25" ht="12.75" hidden="1" customHeight="1">
      <c r="T58" s="253"/>
      <c r="U58" s="238"/>
    </row>
    <row r="59" spans="1:25" ht="12.75" hidden="1" customHeight="1">
      <c r="A59" s="235"/>
    </row>
    <row r="61" spans="1:25" ht="12.75" hidden="1" customHeight="1">
      <c r="A61" s="235"/>
    </row>
    <row r="62" spans="1:25" ht="12.75" hidden="1" customHeight="1">
      <c r="A62" s="235"/>
    </row>
    <row r="63" spans="1:25" ht="12.75" hidden="1" customHeight="1">
      <c r="A63" s="235"/>
    </row>
    <row r="64" spans="1:25" ht="12.75" hidden="1" customHeight="1">
      <c r="A64" s="235"/>
    </row>
    <row r="66" spans="1:1" ht="12.75" hidden="1" customHeight="1">
      <c r="A66" s="235"/>
    </row>
    <row r="67" spans="1:1" ht="12.75" hidden="1" customHeight="1">
      <c r="A67" s="235"/>
    </row>
    <row r="68" spans="1:1" ht="12.75" hidden="1" customHeight="1">
      <c r="A68" s="235"/>
    </row>
    <row r="69" spans="1:1" ht="12.75" hidden="1" customHeight="1">
      <c r="A69" s="235"/>
    </row>
    <row r="70" spans="1:1" ht="12.75" hidden="1" customHeight="1">
      <c r="A70" s="235"/>
    </row>
  </sheetData>
  <sheetProtection algorithmName="SHA-512" hashValue="XAHkbFTTRzv1fPyJvtzy+Vdkf4PlEhRhbUXZs6mA2EHnE8+ZeBaNRtBF0FkUVNx8G95QAvMM9PWqdx6kkoBugg==" saltValue="3wp8X0v2MTmwUeFhtvZDfA==" spinCount="100000" sheet="1" objects="1" scenarios="1"/>
  <mergeCells count="121">
    <mergeCell ref="C41:D41"/>
    <mergeCell ref="F41:G41"/>
    <mergeCell ref="I41:J41"/>
    <mergeCell ref="L41:M41"/>
    <mergeCell ref="O41:P41"/>
    <mergeCell ref="D38:E38"/>
    <mergeCell ref="G38:H38"/>
    <mergeCell ref="J38:K38"/>
    <mergeCell ref="M38:N38"/>
    <mergeCell ref="P38:Q38"/>
    <mergeCell ref="A39:T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A32:H32"/>
    <mergeCell ref="D33:E33"/>
    <mergeCell ref="G33:H33"/>
    <mergeCell ref="J33:K33"/>
    <mergeCell ref="M33:N33"/>
    <mergeCell ref="P33:Q33"/>
    <mergeCell ref="H28:R28"/>
    <mergeCell ref="AK28:AO28"/>
    <mergeCell ref="AP28:AT28"/>
    <mergeCell ref="H29:R29"/>
    <mergeCell ref="A30:S30"/>
    <mergeCell ref="A31:H31"/>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M10:N10"/>
    <mergeCell ref="M11:N11"/>
    <mergeCell ref="M12:N12"/>
    <mergeCell ref="J7:K7"/>
    <mergeCell ref="J8:K8"/>
    <mergeCell ref="J9:K9"/>
    <mergeCell ref="J10:K10"/>
    <mergeCell ref="J11:K11"/>
    <mergeCell ref="J12:K12"/>
    <mergeCell ref="G10:H10"/>
    <mergeCell ref="G11:H11"/>
    <mergeCell ref="G12:H12"/>
    <mergeCell ref="D7:E7"/>
    <mergeCell ref="D8:E8"/>
    <mergeCell ref="D9:E9"/>
    <mergeCell ref="D10:E10"/>
    <mergeCell ref="D11:E11"/>
    <mergeCell ref="D12:E12"/>
    <mergeCell ref="A1:S1"/>
    <mergeCell ref="H2:R2"/>
    <mergeCell ref="H3:R3"/>
    <mergeCell ref="A5:H5"/>
    <mergeCell ref="A6:H6"/>
    <mergeCell ref="A4:S4"/>
    <mergeCell ref="G7:H7"/>
    <mergeCell ref="G8:H8"/>
    <mergeCell ref="G9:H9"/>
    <mergeCell ref="M9:N9"/>
  </mergeCells>
  <dataValidations count="15">
    <dataValidation type="list" allowBlank="1" showInputMessage="1" showErrorMessage="1" sqref="B8 D8 G8 J8 M8 P8 D21 G21 J21 M21 P21 D34 G34 J34 M34 P34 B21 B34">
      <formula1>$AV$1:$AV$13</formula1>
    </dataValidation>
    <dataValidation type="list" allowBlank="1" showInputMessage="1" showErrorMessage="1" sqref="M13 D26 P13 J26 P26 B26 G26 J13 G13 D13 B13 M26">
      <formula1>$K$50:$K$62</formula1>
    </dataValidation>
    <dataValidation type="list" allowBlank="1" showInputMessage="1" showErrorMessage="1" sqref="J6 J19 J32">
      <formula1>$AK$3:$AK$7</formula1>
    </dataValidation>
    <dataValidation type="list" allowBlank="1" showInputMessage="1" showErrorMessage="1" sqref="L6 L19 L32">
      <formula1>$AL$3:$AL$7</formula1>
    </dataValidation>
    <dataValidation type="list" allowBlank="1" showInputMessage="1" showErrorMessage="1" sqref="N6 N19 N32">
      <formula1>$AM$3:$AM$7</formula1>
    </dataValidation>
    <dataValidation type="list" allowBlank="1" showInputMessage="1" showErrorMessage="1" sqref="P6 P19 P32">
      <formula1>$AN$3:$AN$7</formula1>
    </dataValidation>
    <dataValidation type="list" allowBlank="1" showInputMessage="1" showErrorMessage="1" sqref="R6 R19 R32">
      <formula1>$AO$3:$AO$7</formula1>
    </dataValidation>
    <dataValidation type="list" allowBlank="1" showInputMessage="1" showErrorMessage="1" sqref="A32:H32">
      <formula1>$V$29:$V$36</formula1>
    </dataValidation>
    <dataValidation type="list" allowBlank="1" showInputMessage="1" showErrorMessage="1" sqref="A19:H19">
      <formula1>$V$16:$V$23</formula1>
    </dataValidation>
    <dataValidation type="list" allowBlank="1" showInputMessage="1" showErrorMessage="1" sqref="B3 B29 B16">
      <formula1>$Y$5:$Y$10</formula1>
    </dataValidation>
    <dataValidation type="list" allowBlank="1" showInputMessage="1" showErrorMessage="1" sqref="A6">
      <formula1>$V$3:$V$10</formula1>
    </dataValidation>
    <dataValidation type="list" allowBlank="1" showInputMessage="1" showErrorMessage="1" sqref="B9 D9 G9 J9 M9 P9 D22 G22 J22 M22 P22 D35 G35 J35 M35 P35 B22 B35">
      <formula1>$BB$1:$BB$13</formula1>
    </dataValidation>
    <dataValidation type="list" allowBlank="1" showInputMessage="1" showErrorMessage="1" sqref="B10 D10 G10 J10 M10 P10 D23 G23 J23 M23 P23 D36 G36 J36 M36 P36 B23 B36">
      <formula1>$AX$1:$AX$13</formula1>
    </dataValidation>
    <dataValidation type="list" allowBlank="1" showInputMessage="1" showErrorMessage="1" sqref="B11 D11 G11 J11 M11 P11 D24 G24 J24 M24 P24 D37 G37 J37 M37 P37 B24 B37">
      <formula1>$AZ$1:$AZ$13</formula1>
    </dataValidation>
    <dataValidation type="list" allowBlank="1" showInputMessage="1" showErrorMessage="1" sqref="B12 D12 G12 J12 M12 P12 D25 G25 J25 M25 P25 D38 G38 J38 M38 P38 B25 B38">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c r="A2" s="14"/>
      <c r="B2" s="441"/>
      <c r="C2" s="105"/>
      <c r="D2" s="105"/>
      <c r="E2" s="105"/>
      <c r="F2" s="105"/>
      <c r="G2" s="105"/>
      <c r="H2" s="105"/>
      <c r="I2" s="105"/>
      <c r="J2" s="105"/>
      <c r="K2" s="105"/>
      <c r="L2" s="105"/>
      <c r="M2" s="105"/>
      <c r="N2" s="105"/>
      <c r="O2" s="105"/>
      <c r="P2" s="14"/>
      <c r="Q2" s="454" t="str">
        <f>IF(Roster!$A$2=0,"","#"&amp;Roster!$A$2)</f>
        <v>#1</v>
      </c>
      <c r="R2" s="105"/>
      <c r="S2" s="105"/>
      <c r="T2" s="105"/>
      <c r="U2" s="105"/>
      <c r="V2" s="105"/>
      <c r="W2" s="105"/>
      <c r="X2" s="105"/>
      <c r="Y2" s="105"/>
      <c r="Z2" s="105"/>
      <c r="AA2" s="105"/>
      <c r="AB2" s="105"/>
      <c r="AC2" s="105"/>
      <c r="AD2" s="105"/>
      <c r="AE2" s="14"/>
      <c r="AF2" s="454" t="str">
        <f>IF(Roster!$A$3=0,"","#"&amp;Roster!$A$3)</f>
        <v>#2</v>
      </c>
      <c r="AG2" s="105"/>
      <c r="AH2" s="105"/>
      <c r="AI2" s="105"/>
      <c r="AJ2" s="105"/>
      <c r="AK2" s="105"/>
      <c r="AL2" s="105"/>
      <c r="AM2" s="105"/>
      <c r="AN2" s="105"/>
      <c r="AO2" s="105"/>
      <c r="AP2" s="105"/>
      <c r="AQ2" s="105"/>
      <c r="AR2" s="105"/>
      <c r="AS2" s="105"/>
      <c r="AT2" s="14"/>
      <c r="AU2" s="454" t="str">
        <f>IF(Roster!$A$4=0,"","#"&amp;Roster!$A$4)</f>
        <v>#3</v>
      </c>
      <c r="AV2" s="105"/>
      <c r="AW2" s="105"/>
      <c r="AX2" s="105"/>
      <c r="AY2" s="105"/>
      <c r="AZ2" s="105"/>
      <c r="BA2" s="105"/>
      <c r="BB2" s="105"/>
      <c r="BC2" s="105"/>
      <c r="BD2" s="105"/>
      <c r="BE2" s="105"/>
      <c r="BF2" s="105"/>
      <c r="BG2" s="105"/>
      <c r="BH2" s="105"/>
    </row>
    <row r="3" spans="1:60" ht="15" customHeight="1">
      <c r="A3" s="14"/>
      <c r="B3" s="402"/>
      <c r="C3" s="444" t="str">
        <f>IF(Roster!$J$23=0,Roster!$C$23,Roster!$J$23)</f>
        <v>Infamous Blade of Nagaroth</v>
      </c>
      <c r="D3" s="394"/>
      <c r="E3" s="394"/>
      <c r="F3" s="394"/>
      <c r="G3" s="394"/>
      <c r="H3" s="394"/>
      <c r="I3" s="394"/>
      <c r="J3" s="394"/>
      <c r="K3" s="394"/>
      <c r="L3" s="394"/>
      <c r="M3" s="394"/>
      <c r="N3" s="395"/>
      <c r="O3" s="105"/>
      <c r="P3" s="14"/>
      <c r="Q3" s="402"/>
      <c r="R3" s="444" t="str">
        <f>IF(Roster!$B$2=0,"",Roster!$B$2)</f>
        <v>Soul Edge</v>
      </c>
      <c r="S3" s="394"/>
      <c r="T3" s="394"/>
      <c r="U3" s="394"/>
      <c r="V3" s="394"/>
      <c r="W3" s="394"/>
      <c r="X3" s="394"/>
      <c r="Y3" s="394"/>
      <c r="Z3" s="394"/>
      <c r="AA3" s="394"/>
      <c r="AB3" s="394"/>
      <c r="AC3" s="395"/>
      <c r="AD3" s="105"/>
      <c r="AE3" s="14"/>
      <c r="AF3" s="402"/>
      <c r="AG3" s="444" t="str">
        <f>IF(Roster!$B$3=0,"",Roster!$B$3)</f>
        <v>Excalibur</v>
      </c>
      <c r="AH3" s="394"/>
      <c r="AI3" s="394"/>
      <c r="AJ3" s="394"/>
      <c r="AK3" s="394"/>
      <c r="AL3" s="394"/>
      <c r="AM3" s="394"/>
      <c r="AN3" s="394"/>
      <c r="AO3" s="394"/>
      <c r="AP3" s="394"/>
      <c r="AQ3" s="394"/>
      <c r="AR3" s="395"/>
      <c r="AS3" s="105"/>
      <c r="AT3" s="14"/>
      <c r="AU3" s="402"/>
      <c r="AV3" s="444" t="str">
        <f>IF(Roster!$B$4=0,"",Roster!$B$4)</f>
        <v>Longclaw</v>
      </c>
      <c r="AW3" s="394"/>
      <c r="AX3" s="394"/>
      <c r="AY3" s="394"/>
      <c r="AZ3" s="394"/>
      <c r="BA3" s="394"/>
      <c r="BB3" s="394"/>
      <c r="BC3" s="394"/>
      <c r="BD3" s="394"/>
      <c r="BE3" s="394"/>
      <c r="BF3" s="394"/>
      <c r="BG3" s="395"/>
      <c r="BH3" s="105"/>
    </row>
    <row r="4" spans="1:60" ht="11.25" customHeight="1">
      <c r="A4" s="14"/>
      <c r="B4" s="402"/>
      <c r="C4" s="442" t="str">
        <f>IF(Roster!$AI$29="SPONSORS",Roster!$J$22,Roster!$J$22&amp;"; Sponsor: "&amp;Roster!$AI$29)</f>
        <v>Dark Elf</v>
      </c>
      <c r="D4" s="394"/>
      <c r="E4" s="394"/>
      <c r="F4" s="394"/>
      <c r="G4" s="394"/>
      <c r="H4" s="394"/>
      <c r="I4" s="394"/>
      <c r="J4" s="394"/>
      <c r="K4" s="394"/>
      <c r="L4" s="394"/>
      <c r="M4" s="394"/>
      <c r="N4" s="395"/>
      <c r="O4" s="106"/>
      <c r="P4" s="14"/>
      <c r="Q4" s="403"/>
      <c r="R4" s="442" t="str">
        <f>IF(Roster!$C$2=0,"",Roster!$C$2)</f>
        <v>Runner</v>
      </c>
      <c r="S4" s="394"/>
      <c r="T4" s="394"/>
      <c r="U4" s="394"/>
      <c r="V4" s="394"/>
      <c r="W4" s="394"/>
      <c r="X4" s="394"/>
      <c r="Y4" s="394"/>
      <c r="Z4" s="394"/>
      <c r="AA4" s="394"/>
      <c r="AB4" s="394"/>
      <c r="AC4" s="395"/>
      <c r="AD4" s="106"/>
      <c r="AE4" s="14"/>
      <c r="AF4" s="403"/>
      <c r="AG4" s="442" t="str">
        <f>IF(Roster!$C$3=0,"",Roster!$C$3)</f>
        <v>Blitzer</v>
      </c>
      <c r="AH4" s="394"/>
      <c r="AI4" s="394"/>
      <c r="AJ4" s="394"/>
      <c r="AK4" s="394"/>
      <c r="AL4" s="394"/>
      <c r="AM4" s="394"/>
      <c r="AN4" s="394"/>
      <c r="AO4" s="394"/>
      <c r="AP4" s="394"/>
      <c r="AQ4" s="394"/>
      <c r="AR4" s="395"/>
      <c r="AS4" s="106"/>
      <c r="AT4" s="14"/>
      <c r="AU4" s="403"/>
      <c r="AV4" s="442" t="str">
        <f>IF(Roster!$C$4=0,"",Roster!$C$4)</f>
        <v>Blitzer</v>
      </c>
      <c r="AW4" s="394"/>
      <c r="AX4" s="394"/>
      <c r="AY4" s="394"/>
      <c r="AZ4" s="394"/>
      <c r="BA4" s="394"/>
      <c r="BB4" s="394"/>
      <c r="BC4" s="394"/>
      <c r="BD4" s="394"/>
      <c r="BE4" s="394"/>
      <c r="BF4" s="394"/>
      <c r="BG4" s="395"/>
      <c r="BH4" s="106"/>
    </row>
    <row r="5" spans="1:60" ht="11.25" customHeight="1">
      <c r="A5" s="14"/>
      <c r="B5" s="403"/>
      <c r="C5" s="107"/>
      <c r="D5" s="442" t="str">
        <f>IF(Roster!$C$30=0,"",Roster!$C$30)</f>
        <v>TEAM VALUE</v>
      </c>
      <c r="E5" s="394"/>
      <c r="F5" s="395"/>
      <c r="G5" s="108"/>
      <c r="H5" s="442" t="str">
        <f>IF(Roster!$R$21=0,"",Roster!$R$21)</f>
        <v>DEDICATED FANS</v>
      </c>
      <c r="I5" s="394"/>
      <c r="J5" s="395"/>
      <c r="K5" s="108"/>
      <c r="L5" s="442" t="str">
        <f>IF(Roster!$R$22=0,"",Roster!$R$22)</f>
        <v>REROLLS</v>
      </c>
      <c r="M5" s="394"/>
      <c r="N5" s="395"/>
      <c r="O5" s="105"/>
      <c r="P5" s="14"/>
      <c r="Q5" s="109" t="str">
        <f>IF(Roster!$J$1=0,"",Roster!$J$1)</f>
        <v>MA</v>
      </c>
      <c r="R5" s="457"/>
      <c r="S5" s="394"/>
      <c r="T5" s="394"/>
      <c r="U5" s="394"/>
      <c r="V5" s="394"/>
      <c r="W5" s="394"/>
      <c r="X5" s="394"/>
      <c r="Y5" s="394"/>
      <c r="Z5" s="394"/>
      <c r="AA5" s="394"/>
      <c r="AB5" s="394"/>
      <c r="AC5" s="395"/>
      <c r="AD5" s="105"/>
      <c r="AE5" s="14"/>
      <c r="AF5" s="109" t="str">
        <f>IF(Roster!$J$1=0,"",Roster!$J$1)</f>
        <v>MA</v>
      </c>
      <c r="AG5" s="457"/>
      <c r="AH5" s="394"/>
      <c r="AI5" s="394"/>
      <c r="AJ5" s="394"/>
      <c r="AK5" s="394"/>
      <c r="AL5" s="394"/>
      <c r="AM5" s="394"/>
      <c r="AN5" s="394"/>
      <c r="AO5" s="394"/>
      <c r="AP5" s="394"/>
      <c r="AQ5" s="394"/>
      <c r="AR5" s="395"/>
      <c r="AS5" s="105"/>
      <c r="AT5" s="14"/>
      <c r="AU5" s="109" t="str">
        <f>IF(Roster!$J$1=0,"",Roster!$J$1)</f>
        <v>MA</v>
      </c>
      <c r="AV5" s="457"/>
      <c r="AW5" s="394"/>
      <c r="AX5" s="394"/>
      <c r="AY5" s="394"/>
      <c r="AZ5" s="394"/>
      <c r="BA5" s="394"/>
      <c r="BB5" s="394"/>
      <c r="BC5" s="394"/>
      <c r="BD5" s="394"/>
      <c r="BE5" s="394"/>
      <c r="BF5" s="394"/>
      <c r="BG5" s="395"/>
      <c r="BH5" s="105"/>
    </row>
    <row r="6" spans="1:60" ht="37.5" customHeight="1">
      <c r="A6" s="14"/>
      <c r="B6" s="443" t="str">
        <f>IF(Roster!$J$21=0,"",Roster!$J$21)</f>
        <v>Karlsteiner</v>
      </c>
      <c r="C6" s="110"/>
      <c r="D6" s="440">
        <f>Roster!$J$30</f>
        <v>990</v>
      </c>
      <c r="E6" s="394"/>
      <c r="F6" s="395"/>
      <c r="G6" s="108"/>
      <c r="H6" s="440" t="str">
        <f>IF(Roster!$W$21=0,"",Roster!$W$21)</f>
        <v/>
      </c>
      <c r="I6" s="394"/>
      <c r="J6" s="395"/>
      <c r="K6" s="108"/>
      <c r="L6" s="440">
        <f>Roster!$W$22</f>
        <v>3</v>
      </c>
      <c r="M6" s="394"/>
      <c r="N6" s="395"/>
      <c r="O6" s="105"/>
      <c r="P6" s="14"/>
      <c r="Q6" s="111">
        <f>IF(Roster!$J$2=0,"",Roster!$J$2)</f>
        <v>7</v>
      </c>
      <c r="R6" s="461"/>
      <c r="S6" s="458"/>
      <c r="T6" s="447"/>
      <c r="U6" s="447"/>
      <c r="V6" s="447"/>
      <c r="W6" s="447"/>
      <c r="X6" s="447"/>
      <c r="Y6" s="447"/>
      <c r="Z6" s="447"/>
      <c r="AA6" s="447"/>
      <c r="AB6" s="447"/>
      <c r="AC6" s="448"/>
      <c r="AD6" s="105"/>
      <c r="AE6" s="14"/>
      <c r="AF6" s="111">
        <f>IF(Roster!$J$3=0,"",Roster!$J$3)</f>
        <v>7</v>
      </c>
      <c r="AG6" s="461"/>
      <c r="AH6" s="458"/>
      <c r="AI6" s="447"/>
      <c r="AJ6" s="447"/>
      <c r="AK6" s="447"/>
      <c r="AL6" s="447"/>
      <c r="AM6" s="447"/>
      <c r="AN6" s="447"/>
      <c r="AO6" s="447"/>
      <c r="AP6" s="447"/>
      <c r="AQ6" s="447"/>
      <c r="AR6" s="448"/>
      <c r="AS6" s="105"/>
      <c r="AT6" s="14"/>
      <c r="AU6" s="111">
        <f>IF(Roster!$J$4=0,"",Roster!$J$4)</f>
        <v>7</v>
      </c>
      <c r="AV6" s="461"/>
      <c r="AW6" s="458"/>
      <c r="AX6" s="447"/>
      <c r="AY6" s="447"/>
      <c r="AZ6" s="447"/>
      <c r="BA6" s="447"/>
      <c r="BB6" s="447"/>
      <c r="BC6" s="447"/>
      <c r="BD6" s="447"/>
      <c r="BE6" s="447"/>
      <c r="BF6" s="447"/>
      <c r="BG6" s="448"/>
      <c r="BH6" s="105"/>
    </row>
    <row r="7" spans="1:60" ht="11.25" customHeight="1">
      <c r="A7" s="14"/>
      <c r="B7" s="402"/>
      <c r="C7" s="109"/>
      <c r="D7" s="442" t="str">
        <f>IF(Roster!$AD$21=0,"",Roster!$AD$21)</f>
        <v>APOTHECARY</v>
      </c>
      <c r="E7" s="394"/>
      <c r="F7" s="395"/>
      <c r="G7" s="108"/>
      <c r="H7" s="442" t="str">
        <f>IF(Roster!$R$23=0,"",Roster!$R$23)</f>
        <v>CHEERLEADERS</v>
      </c>
      <c r="I7" s="394"/>
      <c r="J7" s="395"/>
      <c r="K7" s="108"/>
      <c r="L7" s="442" t="str">
        <f>IF(Roster!$R$24=0,"",Roster!$R$24)</f>
        <v>ASSISTANT COACHES</v>
      </c>
      <c r="M7" s="394"/>
      <c r="N7" s="395"/>
      <c r="O7" s="105"/>
      <c r="P7" s="14"/>
      <c r="Q7" s="109" t="str">
        <f>IF(Roster!$K$1=0,"",Roster!$K$1)</f>
        <v>ST</v>
      </c>
      <c r="R7" s="402"/>
      <c r="S7" s="449"/>
      <c r="T7" s="356"/>
      <c r="U7" s="356"/>
      <c r="V7" s="356"/>
      <c r="W7" s="356"/>
      <c r="X7" s="356"/>
      <c r="Y7" s="356"/>
      <c r="Z7" s="356"/>
      <c r="AA7" s="356"/>
      <c r="AB7" s="356"/>
      <c r="AC7" s="450"/>
      <c r="AD7" s="105"/>
      <c r="AE7" s="14"/>
      <c r="AF7" s="109" t="str">
        <f>IF(Roster!$K$1=0,"",Roster!$K$1)</f>
        <v>ST</v>
      </c>
      <c r="AG7" s="402"/>
      <c r="AH7" s="449"/>
      <c r="AI7" s="356"/>
      <c r="AJ7" s="356"/>
      <c r="AK7" s="356"/>
      <c r="AL7" s="356"/>
      <c r="AM7" s="356"/>
      <c r="AN7" s="356"/>
      <c r="AO7" s="356"/>
      <c r="AP7" s="356"/>
      <c r="AQ7" s="356"/>
      <c r="AR7" s="450"/>
      <c r="AS7" s="105"/>
      <c r="AT7" s="14"/>
      <c r="AU7" s="109" t="str">
        <f>IF(Roster!$K$1=0,"",Roster!$K$1)</f>
        <v>ST</v>
      </c>
      <c r="AV7" s="402"/>
      <c r="AW7" s="449"/>
      <c r="AX7" s="356"/>
      <c r="AY7" s="356"/>
      <c r="AZ7" s="356"/>
      <c r="BA7" s="356"/>
      <c r="BB7" s="356"/>
      <c r="BC7" s="356"/>
      <c r="BD7" s="356"/>
      <c r="BE7" s="356"/>
      <c r="BF7" s="356"/>
      <c r="BG7" s="450"/>
      <c r="BH7" s="105"/>
    </row>
    <row r="8" spans="1:60" ht="37.5" customHeight="1">
      <c r="A8" s="14"/>
      <c r="B8" s="402"/>
      <c r="C8" s="112"/>
      <c r="D8" s="440">
        <f>Roster!$AI$21</f>
        <v>0</v>
      </c>
      <c r="E8" s="394"/>
      <c r="F8" s="395"/>
      <c r="G8" s="108"/>
      <c r="H8" s="440">
        <f>Roster!$W$23</f>
        <v>0</v>
      </c>
      <c r="I8" s="394"/>
      <c r="J8" s="395"/>
      <c r="K8" s="108"/>
      <c r="L8" s="440">
        <f>Roster!$W$24</f>
        <v>0</v>
      </c>
      <c r="M8" s="394"/>
      <c r="N8" s="395"/>
      <c r="O8" s="105"/>
      <c r="P8" s="14"/>
      <c r="Q8" s="111">
        <f>IF(Roster!$K$2=0,"",Roster!$K$2)</f>
        <v>3</v>
      </c>
      <c r="R8" s="402"/>
      <c r="S8" s="449"/>
      <c r="T8" s="356"/>
      <c r="U8" s="356"/>
      <c r="V8" s="356"/>
      <c r="W8" s="356"/>
      <c r="X8" s="356"/>
      <c r="Y8" s="356"/>
      <c r="Z8" s="356"/>
      <c r="AA8" s="356"/>
      <c r="AB8" s="356"/>
      <c r="AC8" s="450"/>
      <c r="AD8" s="105"/>
      <c r="AE8" s="14"/>
      <c r="AF8" s="111">
        <f>IF(Roster!$K$3=0,"",Roster!$K$3)</f>
        <v>3</v>
      </c>
      <c r="AG8" s="402"/>
      <c r="AH8" s="449"/>
      <c r="AI8" s="356"/>
      <c r="AJ8" s="356"/>
      <c r="AK8" s="356"/>
      <c r="AL8" s="356"/>
      <c r="AM8" s="356"/>
      <c r="AN8" s="356"/>
      <c r="AO8" s="356"/>
      <c r="AP8" s="356"/>
      <c r="AQ8" s="356"/>
      <c r="AR8" s="450"/>
      <c r="AS8" s="105"/>
      <c r="AT8" s="14"/>
      <c r="AU8" s="111">
        <f>IF(Roster!$K$4=0,"",Roster!$K$4)</f>
        <v>3</v>
      </c>
      <c r="AV8" s="402"/>
      <c r="AW8" s="449"/>
      <c r="AX8" s="356"/>
      <c r="AY8" s="356"/>
      <c r="AZ8" s="356"/>
      <c r="BA8" s="356"/>
      <c r="BB8" s="356"/>
      <c r="BC8" s="356"/>
      <c r="BD8" s="356"/>
      <c r="BE8" s="356"/>
      <c r="BF8" s="356"/>
      <c r="BG8" s="450"/>
      <c r="BH8" s="105"/>
    </row>
    <row r="9" spans="1:60" ht="11.25" customHeight="1">
      <c r="A9" s="14"/>
      <c r="B9" s="402"/>
      <c r="C9" s="107"/>
      <c r="D9" s="442" t="str">
        <f>IF(Roster!$R$25=0,"",Roster!$R$25)</f>
        <v>BLOODWEISER KEGS</v>
      </c>
      <c r="E9" s="394"/>
      <c r="F9" s="395"/>
      <c r="G9" s="108"/>
      <c r="H9" s="442" t="str">
        <f>IF(Roster!$R$26=0,"",Roster!$R$26)</f>
        <v>BRIBES</v>
      </c>
      <c r="I9" s="394"/>
      <c r="J9" s="395"/>
      <c r="K9" s="108"/>
      <c r="L9" s="442" t="str">
        <f>IF(Roster!$R$27=0,"",Roster!$R$27)</f>
        <v>MASTER CHEF</v>
      </c>
      <c r="M9" s="394"/>
      <c r="N9" s="395"/>
      <c r="O9" s="105"/>
      <c r="P9" s="14"/>
      <c r="Q9" s="109" t="str">
        <f>IF(Roster!$L$1=0,"",Roster!$L$1)</f>
        <v>AG</v>
      </c>
      <c r="R9" s="402"/>
      <c r="S9" s="449"/>
      <c r="T9" s="356"/>
      <c r="U9" s="356"/>
      <c r="V9" s="356"/>
      <c r="W9" s="356"/>
      <c r="X9" s="356"/>
      <c r="Y9" s="356"/>
      <c r="Z9" s="356"/>
      <c r="AA9" s="356"/>
      <c r="AB9" s="356"/>
      <c r="AC9" s="450"/>
      <c r="AD9" s="105"/>
      <c r="AE9" s="14"/>
      <c r="AF9" s="109" t="str">
        <f>IF(Roster!$L$1=0,"",Roster!$L$1)</f>
        <v>AG</v>
      </c>
      <c r="AG9" s="402"/>
      <c r="AH9" s="449"/>
      <c r="AI9" s="356"/>
      <c r="AJ9" s="356"/>
      <c r="AK9" s="356"/>
      <c r="AL9" s="356"/>
      <c r="AM9" s="356"/>
      <c r="AN9" s="356"/>
      <c r="AO9" s="356"/>
      <c r="AP9" s="356"/>
      <c r="AQ9" s="356"/>
      <c r="AR9" s="450"/>
      <c r="AS9" s="105"/>
      <c r="AT9" s="14"/>
      <c r="AU9" s="109" t="str">
        <f>IF(Roster!$L$1=0,"",Roster!$L$1)</f>
        <v>AG</v>
      </c>
      <c r="AV9" s="402"/>
      <c r="AW9" s="449"/>
      <c r="AX9" s="356"/>
      <c r="AY9" s="356"/>
      <c r="AZ9" s="356"/>
      <c r="BA9" s="356"/>
      <c r="BB9" s="356"/>
      <c r="BC9" s="356"/>
      <c r="BD9" s="356"/>
      <c r="BE9" s="356"/>
      <c r="BF9" s="356"/>
      <c r="BG9" s="450"/>
      <c r="BH9" s="105"/>
    </row>
    <row r="10" spans="1:60" ht="37.5" customHeight="1">
      <c r="A10" s="14"/>
      <c r="B10" s="402"/>
      <c r="C10" s="112"/>
      <c r="D10" s="440">
        <f>Roster!$W$25</f>
        <v>0</v>
      </c>
      <c r="E10" s="394"/>
      <c r="F10" s="395"/>
      <c r="G10" s="108"/>
      <c r="H10" s="440">
        <f>Roster!$W$26</f>
        <v>0</v>
      </c>
      <c r="I10" s="394"/>
      <c r="J10" s="395"/>
      <c r="K10" s="108"/>
      <c r="L10" s="440">
        <f>Roster!$W$27</f>
        <v>0</v>
      </c>
      <c r="M10" s="394"/>
      <c r="N10" s="395"/>
      <c r="O10" s="105"/>
      <c r="P10" s="14"/>
      <c r="Q10" s="111" t="str">
        <f>IF(Roster!$L$2=0&amp;"+","",Roster!$L$2)</f>
        <v>2+</v>
      </c>
      <c r="R10" s="402"/>
      <c r="S10" s="449"/>
      <c r="T10" s="356"/>
      <c r="U10" s="356"/>
      <c r="V10" s="356"/>
      <c r="W10" s="356"/>
      <c r="X10" s="356"/>
      <c r="Y10" s="356"/>
      <c r="Z10" s="356"/>
      <c r="AA10" s="356"/>
      <c r="AB10" s="356"/>
      <c r="AC10" s="450"/>
      <c r="AD10" s="105"/>
      <c r="AE10" s="14"/>
      <c r="AF10" s="111" t="str">
        <f>IF(Roster!$L$3=0&amp;"+","",Roster!$L$3)</f>
        <v>2+</v>
      </c>
      <c r="AG10" s="402"/>
      <c r="AH10" s="449"/>
      <c r="AI10" s="356"/>
      <c r="AJ10" s="356"/>
      <c r="AK10" s="356"/>
      <c r="AL10" s="356"/>
      <c r="AM10" s="356"/>
      <c r="AN10" s="356"/>
      <c r="AO10" s="356"/>
      <c r="AP10" s="356"/>
      <c r="AQ10" s="356"/>
      <c r="AR10" s="450"/>
      <c r="AS10" s="105"/>
      <c r="AT10" s="14"/>
      <c r="AU10" s="111" t="str">
        <f>IF(Roster!$L$4=0&amp;"+","",Roster!$L$4)</f>
        <v>2+</v>
      </c>
      <c r="AV10" s="402"/>
      <c r="AW10" s="449"/>
      <c r="AX10" s="356"/>
      <c r="AY10" s="356"/>
      <c r="AZ10" s="356"/>
      <c r="BA10" s="356"/>
      <c r="BB10" s="356"/>
      <c r="BC10" s="356"/>
      <c r="BD10" s="356"/>
      <c r="BE10" s="356"/>
      <c r="BF10" s="356"/>
      <c r="BG10" s="450"/>
      <c r="BH10" s="105"/>
    </row>
    <row r="11" spans="1:60" ht="11.25" customHeight="1">
      <c r="A11" s="14"/>
      <c r="B11" s="402"/>
      <c r="C11" s="109"/>
      <c r="D11" s="445" t="str">
        <f>IF(Roster!$R$28=0,"",Roster!$R$28)</f>
        <v>RIOTOUS ROOKIES</v>
      </c>
      <c r="E11" s="394"/>
      <c r="F11" s="395"/>
      <c r="G11" s="113"/>
      <c r="H11" s="445" t="str">
        <f>IF(Roster!$AD$23=0,"",Roster!$AD$23)</f>
        <v>WIZARDS</v>
      </c>
      <c r="I11" s="394"/>
      <c r="J11" s="395"/>
      <c r="K11" s="113"/>
      <c r="L11" s="442" t="str">
        <f>IF(Roster!$AD$22=0,"",Roster!$AD$22)</f>
        <v>WEATHER MAGE</v>
      </c>
      <c r="M11" s="394"/>
      <c r="N11" s="395"/>
      <c r="O11" s="114"/>
      <c r="P11" s="14"/>
      <c r="Q11" s="109" t="str">
        <f>IF(Roster!$M$1=0,"",Roster!$M$1)</f>
        <v>PA</v>
      </c>
      <c r="R11" s="402"/>
      <c r="S11" s="449"/>
      <c r="T11" s="356"/>
      <c r="U11" s="356"/>
      <c r="V11" s="356"/>
      <c r="W11" s="356"/>
      <c r="X11" s="356"/>
      <c r="Y11" s="356"/>
      <c r="Z11" s="356"/>
      <c r="AA11" s="356"/>
      <c r="AB11" s="356"/>
      <c r="AC11" s="450"/>
      <c r="AD11" s="114"/>
      <c r="AE11" s="14"/>
      <c r="AF11" s="109" t="str">
        <f>IF(Roster!$M$1=0,"",Roster!$M$1)</f>
        <v>PA</v>
      </c>
      <c r="AG11" s="402"/>
      <c r="AH11" s="449"/>
      <c r="AI11" s="356"/>
      <c r="AJ11" s="356"/>
      <c r="AK11" s="356"/>
      <c r="AL11" s="356"/>
      <c r="AM11" s="356"/>
      <c r="AN11" s="356"/>
      <c r="AO11" s="356"/>
      <c r="AP11" s="356"/>
      <c r="AQ11" s="356"/>
      <c r="AR11" s="450"/>
      <c r="AS11" s="114"/>
      <c r="AT11" s="14"/>
      <c r="AU11" s="109" t="str">
        <f>IF(Roster!$M$1=0,"",Roster!$M$1)</f>
        <v>PA</v>
      </c>
      <c r="AV11" s="402"/>
      <c r="AW11" s="449"/>
      <c r="AX11" s="356"/>
      <c r="AY11" s="356"/>
      <c r="AZ11" s="356"/>
      <c r="BA11" s="356"/>
      <c r="BB11" s="356"/>
      <c r="BC11" s="356"/>
      <c r="BD11" s="356"/>
      <c r="BE11" s="356"/>
      <c r="BF11" s="356"/>
      <c r="BG11" s="450"/>
      <c r="BH11" s="114"/>
    </row>
    <row r="12" spans="1:60" ht="6" customHeight="1">
      <c r="A12" s="14"/>
      <c r="B12" s="402"/>
      <c r="C12" s="110"/>
      <c r="D12" s="446">
        <f>Roster!$W$28</f>
        <v>0</v>
      </c>
      <c r="E12" s="447"/>
      <c r="F12" s="448"/>
      <c r="G12" s="115"/>
      <c r="H12" s="446">
        <f>Roster!$AI$23</f>
        <v>0</v>
      </c>
      <c r="I12" s="447"/>
      <c r="J12" s="448"/>
      <c r="K12" s="115"/>
      <c r="L12" s="446">
        <f>Roster!$AI$22</f>
        <v>0</v>
      </c>
      <c r="M12" s="447"/>
      <c r="N12" s="448"/>
      <c r="O12" s="116"/>
      <c r="P12" s="14"/>
      <c r="Q12" s="456" t="str">
        <f>IF(Roster!$M$2=0&amp;"+","",Roster!$M$2)</f>
        <v>3+</v>
      </c>
      <c r="R12" s="402"/>
      <c r="S12" s="451"/>
      <c r="T12" s="452"/>
      <c r="U12" s="452"/>
      <c r="V12" s="452"/>
      <c r="W12" s="452"/>
      <c r="X12" s="452"/>
      <c r="Y12" s="452"/>
      <c r="Z12" s="452"/>
      <c r="AA12" s="452"/>
      <c r="AB12" s="452"/>
      <c r="AC12" s="453"/>
      <c r="AD12" s="116"/>
      <c r="AE12" s="14"/>
      <c r="AF12" s="456" t="str">
        <f>IF(Roster!$M$3=0&amp;"+","",Roster!$M$3)</f>
        <v>4+</v>
      </c>
      <c r="AG12" s="402"/>
      <c r="AH12" s="451"/>
      <c r="AI12" s="452"/>
      <c r="AJ12" s="452"/>
      <c r="AK12" s="452"/>
      <c r="AL12" s="452"/>
      <c r="AM12" s="452"/>
      <c r="AN12" s="452"/>
      <c r="AO12" s="452"/>
      <c r="AP12" s="452"/>
      <c r="AQ12" s="452"/>
      <c r="AR12" s="453"/>
      <c r="AS12" s="116"/>
      <c r="AT12" s="14"/>
      <c r="AU12" s="456" t="str">
        <f>IF(Roster!$M$4=0&amp;"+","",Roster!$M$4)</f>
        <v>4+</v>
      </c>
      <c r="AV12" s="402"/>
      <c r="AW12" s="451"/>
      <c r="AX12" s="452"/>
      <c r="AY12" s="452"/>
      <c r="AZ12" s="452"/>
      <c r="BA12" s="452"/>
      <c r="BB12" s="452"/>
      <c r="BC12" s="452"/>
      <c r="BD12" s="452"/>
      <c r="BE12" s="452"/>
      <c r="BF12" s="452"/>
      <c r="BG12" s="453"/>
      <c r="BH12" s="116"/>
    </row>
    <row r="13" spans="1:60" ht="4.5" customHeight="1">
      <c r="A13" s="14"/>
      <c r="B13" s="402"/>
      <c r="C13" s="110"/>
      <c r="D13" s="449"/>
      <c r="E13" s="356"/>
      <c r="F13" s="450"/>
      <c r="G13" s="115"/>
      <c r="H13" s="449"/>
      <c r="I13" s="356"/>
      <c r="J13" s="450"/>
      <c r="K13" s="115"/>
      <c r="L13" s="449"/>
      <c r="M13" s="356"/>
      <c r="N13" s="450"/>
      <c r="O13" s="116"/>
      <c r="P13" s="14"/>
      <c r="Q13" s="402"/>
      <c r="R13" s="402"/>
      <c r="S13" s="117"/>
      <c r="T13" s="118"/>
      <c r="U13" s="117"/>
      <c r="V13" s="118"/>
      <c r="W13" s="117"/>
      <c r="X13" s="118"/>
      <c r="Y13" s="117"/>
      <c r="Z13" s="118"/>
      <c r="AA13" s="117"/>
      <c r="AB13" s="118"/>
      <c r="AC13" s="117"/>
      <c r="AD13" s="116"/>
      <c r="AE13" s="14"/>
      <c r="AF13" s="402"/>
      <c r="AG13" s="402"/>
      <c r="AH13" s="117"/>
      <c r="AI13" s="118"/>
      <c r="AJ13" s="117"/>
      <c r="AK13" s="118"/>
      <c r="AL13" s="117"/>
      <c r="AM13" s="118"/>
      <c r="AN13" s="117"/>
      <c r="AO13" s="118"/>
      <c r="AP13" s="117"/>
      <c r="AQ13" s="118"/>
      <c r="AR13" s="117"/>
      <c r="AS13" s="116"/>
      <c r="AT13" s="14"/>
      <c r="AU13" s="402"/>
      <c r="AV13" s="402"/>
      <c r="AW13" s="117"/>
      <c r="AX13" s="118"/>
      <c r="AY13" s="117"/>
      <c r="AZ13" s="118"/>
      <c r="BA13" s="117"/>
      <c r="BB13" s="118"/>
      <c r="BC13" s="117"/>
      <c r="BD13" s="118"/>
      <c r="BE13" s="117"/>
      <c r="BF13" s="118"/>
      <c r="BG13" s="117"/>
      <c r="BH13" s="116"/>
    </row>
    <row r="14" spans="1:60" ht="11.25" customHeight="1">
      <c r="A14" s="14"/>
      <c r="B14" s="402"/>
      <c r="C14" s="110"/>
      <c r="D14" s="449"/>
      <c r="E14" s="356"/>
      <c r="F14" s="450"/>
      <c r="G14" s="115"/>
      <c r="H14" s="449"/>
      <c r="I14" s="356"/>
      <c r="J14" s="450"/>
      <c r="K14" s="115"/>
      <c r="L14" s="449"/>
      <c r="M14" s="356"/>
      <c r="N14" s="450"/>
      <c r="O14" s="116"/>
      <c r="P14" s="14"/>
      <c r="Q14" s="402"/>
      <c r="R14" s="402"/>
      <c r="S14" s="460" t="str">
        <f>IF(Roster!$J$24="Italiano","ABILITÀ &amp; TRATTI",(IF(Roster!$J$24="Español","HABILIDADES Y RASGOS","SKILLS &amp; TRAITS")))</f>
        <v>SKILLS &amp; TRAITS</v>
      </c>
      <c r="T14" s="394"/>
      <c r="U14" s="394"/>
      <c r="V14" s="394"/>
      <c r="W14" s="394"/>
      <c r="X14" s="394"/>
      <c r="Y14" s="394"/>
      <c r="Z14" s="394"/>
      <c r="AA14" s="394"/>
      <c r="AB14" s="394"/>
      <c r="AC14" s="395"/>
      <c r="AD14" s="116"/>
      <c r="AE14" s="14"/>
      <c r="AF14" s="402"/>
      <c r="AG14" s="402"/>
      <c r="AH14" s="460" t="str">
        <f>IF(Roster!$J$24="Italiano","ABILITÀ &amp; TRATTI",(IF(Roster!$J$24="Español","HABILIDADES Y RASGOS","SKILLS &amp; TRAITS")))</f>
        <v>SKILLS &amp; TRAITS</v>
      </c>
      <c r="AI14" s="394"/>
      <c r="AJ14" s="394"/>
      <c r="AK14" s="394"/>
      <c r="AL14" s="394"/>
      <c r="AM14" s="394"/>
      <c r="AN14" s="394"/>
      <c r="AO14" s="394"/>
      <c r="AP14" s="394"/>
      <c r="AQ14" s="394"/>
      <c r="AR14" s="395"/>
      <c r="AS14" s="116"/>
      <c r="AT14" s="14"/>
      <c r="AU14" s="402"/>
      <c r="AV14" s="402"/>
      <c r="AW14" s="460" t="str">
        <f>IF(Roster!$J$24="Italiano","ABILITÀ &amp; TRATTI",(IF(Roster!$J$24="Español","HABILIDADES Y RASGOS","SKILLS &amp; TRAITS")))</f>
        <v>SKILLS &amp; TRAITS</v>
      </c>
      <c r="AX14" s="394"/>
      <c r="AY14" s="394"/>
      <c r="AZ14" s="394"/>
      <c r="BA14" s="394"/>
      <c r="BB14" s="394"/>
      <c r="BC14" s="394"/>
      <c r="BD14" s="394"/>
      <c r="BE14" s="394"/>
      <c r="BF14" s="394"/>
      <c r="BG14" s="395"/>
      <c r="BH14" s="116"/>
    </row>
    <row r="15" spans="1:60" ht="15" customHeight="1">
      <c r="A15" s="14"/>
      <c r="B15" s="402"/>
      <c r="C15" s="110"/>
      <c r="D15" s="449"/>
      <c r="E15" s="356"/>
      <c r="F15" s="450"/>
      <c r="G15" s="110"/>
      <c r="H15" s="449"/>
      <c r="I15" s="356"/>
      <c r="J15" s="450"/>
      <c r="K15" s="110"/>
      <c r="L15" s="449"/>
      <c r="M15" s="356"/>
      <c r="N15" s="450"/>
      <c r="O15" s="116"/>
      <c r="P15" s="14"/>
      <c r="Q15" s="402"/>
      <c r="R15" s="402"/>
      <c r="S15" s="459" t="str">
        <f>IF(Roster!$O$2=0,"",Roster!$O$2&amp;Roster!BF2)</f>
        <v>Dump Off, Pass</v>
      </c>
      <c r="T15" s="447"/>
      <c r="U15" s="447"/>
      <c r="V15" s="447"/>
      <c r="W15" s="447"/>
      <c r="X15" s="447"/>
      <c r="Y15" s="447"/>
      <c r="Z15" s="447"/>
      <c r="AA15" s="447"/>
      <c r="AB15" s="447"/>
      <c r="AC15" s="448"/>
      <c r="AD15" s="116"/>
      <c r="AE15" s="14"/>
      <c r="AF15" s="402"/>
      <c r="AG15" s="402"/>
      <c r="AH15" s="459" t="str">
        <f>IF(Roster!$O$3=0,"",Roster!$O$3&amp;Roster!BF3)</f>
        <v>Block, Dodge</v>
      </c>
      <c r="AI15" s="447"/>
      <c r="AJ15" s="447"/>
      <c r="AK15" s="447"/>
      <c r="AL15" s="447"/>
      <c r="AM15" s="447"/>
      <c r="AN15" s="447"/>
      <c r="AO15" s="447"/>
      <c r="AP15" s="447"/>
      <c r="AQ15" s="447"/>
      <c r="AR15" s="448"/>
      <c r="AS15" s="116"/>
      <c r="AT15" s="14"/>
      <c r="AU15" s="402"/>
      <c r="AV15" s="402"/>
      <c r="AW15" s="459" t="str">
        <f>IF(Roster!$O$4=0,"",Roster!$O$4&amp;Roster!BF4)</f>
        <v>Block, Dodge</v>
      </c>
      <c r="AX15" s="447"/>
      <c r="AY15" s="447"/>
      <c r="AZ15" s="447"/>
      <c r="BA15" s="447"/>
      <c r="BB15" s="447"/>
      <c r="BC15" s="447"/>
      <c r="BD15" s="447"/>
      <c r="BE15" s="447"/>
      <c r="BF15" s="447"/>
      <c r="BG15" s="448"/>
      <c r="BH15" s="116"/>
    </row>
    <row r="16" spans="1:60" ht="4.5" customHeight="1">
      <c r="A16" s="14"/>
      <c r="B16" s="402"/>
      <c r="C16" s="110"/>
      <c r="D16" s="451"/>
      <c r="E16" s="452"/>
      <c r="F16" s="453"/>
      <c r="G16" s="110"/>
      <c r="H16" s="451"/>
      <c r="I16" s="452"/>
      <c r="J16" s="453"/>
      <c r="K16" s="110"/>
      <c r="L16" s="451"/>
      <c r="M16" s="452"/>
      <c r="N16" s="453"/>
      <c r="O16" s="116"/>
      <c r="P16" s="14"/>
      <c r="Q16" s="403"/>
      <c r="R16" s="402"/>
      <c r="S16" s="449"/>
      <c r="T16" s="356"/>
      <c r="U16" s="356"/>
      <c r="V16" s="356"/>
      <c r="W16" s="356"/>
      <c r="X16" s="356"/>
      <c r="Y16" s="356"/>
      <c r="Z16" s="356"/>
      <c r="AA16" s="356"/>
      <c r="AB16" s="356"/>
      <c r="AC16" s="450"/>
      <c r="AD16" s="116"/>
      <c r="AE16" s="14"/>
      <c r="AF16" s="403"/>
      <c r="AG16" s="402"/>
      <c r="AH16" s="449"/>
      <c r="AI16" s="356"/>
      <c r="AJ16" s="356"/>
      <c r="AK16" s="356"/>
      <c r="AL16" s="356"/>
      <c r="AM16" s="356"/>
      <c r="AN16" s="356"/>
      <c r="AO16" s="356"/>
      <c r="AP16" s="356"/>
      <c r="AQ16" s="356"/>
      <c r="AR16" s="450"/>
      <c r="AS16" s="116"/>
      <c r="AT16" s="14"/>
      <c r="AU16" s="403"/>
      <c r="AV16" s="402"/>
      <c r="AW16" s="449"/>
      <c r="AX16" s="356"/>
      <c r="AY16" s="356"/>
      <c r="AZ16" s="356"/>
      <c r="BA16" s="356"/>
      <c r="BB16" s="356"/>
      <c r="BC16" s="356"/>
      <c r="BD16" s="356"/>
      <c r="BE16" s="356"/>
      <c r="BF16" s="356"/>
      <c r="BG16" s="450"/>
      <c r="BH16" s="116"/>
    </row>
    <row r="17" spans="1:60" ht="11.25" customHeight="1">
      <c r="A17" s="14"/>
      <c r="B17" s="402"/>
      <c r="C17" s="109"/>
      <c r="D17" s="442" t="str">
        <f>IF(Roster!$R$29=0,"",Roster!$R$29)</f>
        <v>SPECIAL CARD</v>
      </c>
      <c r="E17" s="394"/>
      <c r="F17" s="395"/>
      <c r="G17" s="109"/>
      <c r="H17" s="445" t="str">
        <f>IF(Roster!$AD$24=0,"",Roster!$AD$24)</f>
        <v>(IN)FAMOUS COACHES</v>
      </c>
      <c r="I17" s="394"/>
      <c r="J17" s="395"/>
      <c r="K17" s="109"/>
      <c r="L17" s="445" t="str">
        <f>IF(Roster!$AD$25=0,"",Roster!$AD$25)</f>
        <v>(IN)FAMOUS COACHES</v>
      </c>
      <c r="M17" s="394"/>
      <c r="N17" s="395"/>
      <c r="O17" s="105"/>
      <c r="P17" s="14"/>
      <c r="Q17" s="109" t="str">
        <f>IF(Roster!$N$1=0,"",Roster!$N$1)</f>
        <v>AV</v>
      </c>
      <c r="R17" s="402"/>
      <c r="S17" s="449"/>
      <c r="T17" s="356"/>
      <c r="U17" s="356"/>
      <c r="V17" s="356"/>
      <c r="W17" s="356"/>
      <c r="X17" s="356"/>
      <c r="Y17" s="356"/>
      <c r="Z17" s="356"/>
      <c r="AA17" s="356"/>
      <c r="AB17" s="356"/>
      <c r="AC17" s="450"/>
      <c r="AD17" s="105"/>
      <c r="AE17" s="14"/>
      <c r="AF17" s="109" t="str">
        <f>IF(Roster!$N$1=0,"",Roster!$N$1)</f>
        <v>AV</v>
      </c>
      <c r="AG17" s="402"/>
      <c r="AH17" s="449"/>
      <c r="AI17" s="356"/>
      <c r="AJ17" s="356"/>
      <c r="AK17" s="356"/>
      <c r="AL17" s="356"/>
      <c r="AM17" s="356"/>
      <c r="AN17" s="356"/>
      <c r="AO17" s="356"/>
      <c r="AP17" s="356"/>
      <c r="AQ17" s="356"/>
      <c r="AR17" s="450"/>
      <c r="AS17" s="105"/>
      <c r="AT17" s="14"/>
      <c r="AU17" s="109" t="str">
        <f>IF(Roster!$N$1=0,"",Roster!$N$1)</f>
        <v>AV</v>
      </c>
      <c r="AV17" s="402"/>
      <c r="AW17" s="449"/>
      <c r="AX17" s="356"/>
      <c r="AY17" s="356"/>
      <c r="AZ17" s="356"/>
      <c r="BA17" s="356"/>
      <c r="BB17" s="356"/>
      <c r="BC17" s="356"/>
      <c r="BD17" s="356"/>
      <c r="BE17" s="356"/>
      <c r="BF17" s="356"/>
      <c r="BG17" s="450"/>
      <c r="BH17" s="105"/>
    </row>
    <row r="18" spans="1:60" ht="15" customHeight="1">
      <c r="A18" s="14"/>
      <c r="B18" s="402"/>
      <c r="C18" s="110"/>
      <c r="D18" s="446">
        <f>Roster!$W$29</f>
        <v>0</v>
      </c>
      <c r="E18" s="447"/>
      <c r="F18" s="448"/>
      <c r="G18" s="110"/>
      <c r="H18" s="446">
        <f>Roster!$AI$24</f>
        <v>0</v>
      </c>
      <c r="I18" s="447"/>
      <c r="J18" s="448"/>
      <c r="K18" s="110"/>
      <c r="L18" s="446">
        <f>Roster!$AI$24</f>
        <v>0</v>
      </c>
      <c r="M18" s="447"/>
      <c r="N18" s="448"/>
      <c r="O18" s="119"/>
      <c r="P18" s="14"/>
      <c r="Q18" s="456" t="str">
        <f>IF(Roster!$N$2=0&amp;"+","",Roster!$N$2)</f>
        <v>8+</v>
      </c>
      <c r="R18" s="402"/>
      <c r="S18" s="449"/>
      <c r="T18" s="356"/>
      <c r="U18" s="356"/>
      <c r="V18" s="356"/>
      <c r="W18" s="356"/>
      <c r="X18" s="356"/>
      <c r="Y18" s="356"/>
      <c r="Z18" s="356"/>
      <c r="AA18" s="356"/>
      <c r="AB18" s="356"/>
      <c r="AC18" s="450"/>
      <c r="AD18" s="119"/>
      <c r="AE18" s="14"/>
      <c r="AF18" s="456" t="str">
        <f>IF(Roster!$N$3=0&amp;"+","",Roster!$N$3)</f>
        <v>9+</v>
      </c>
      <c r="AG18" s="402"/>
      <c r="AH18" s="449"/>
      <c r="AI18" s="356"/>
      <c r="AJ18" s="356"/>
      <c r="AK18" s="356"/>
      <c r="AL18" s="356"/>
      <c r="AM18" s="356"/>
      <c r="AN18" s="356"/>
      <c r="AO18" s="356"/>
      <c r="AP18" s="356"/>
      <c r="AQ18" s="356"/>
      <c r="AR18" s="450"/>
      <c r="AS18" s="119"/>
      <c r="AT18" s="14"/>
      <c r="AU18" s="456" t="str">
        <f>IF(Roster!$N$4=0&amp;"+","",Roster!$N$4)</f>
        <v>9+</v>
      </c>
      <c r="AV18" s="402"/>
      <c r="AW18" s="449"/>
      <c r="AX18" s="356"/>
      <c r="AY18" s="356"/>
      <c r="AZ18" s="356"/>
      <c r="BA18" s="356"/>
      <c r="BB18" s="356"/>
      <c r="BC18" s="356"/>
      <c r="BD18" s="356"/>
      <c r="BE18" s="356"/>
      <c r="BF18" s="356"/>
      <c r="BG18" s="450"/>
      <c r="BH18" s="119"/>
    </row>
    <row r="19" spans="1:60" ht="4.5" customHeight="1">
      <c r="A19" s="14"/>
      <c r="B19" s="402"/>
      <c r="C19" s="110"/>
      <c r="D19" s="449"/>
      <c r="E19" s="356"/>
      <c r="F19" s="450"/>
      <c r="G19" s="110"/>
      <c r="H19" s="449"/>
      <c r="I19" s="356"/>
      <c r="J19" s="450"/>
      <c r="K19" s="110"/>
      <c r="L19" s="449"/>
      <c r="M19" s="356"/>
      <c r="N19" s="450"/>
      <c r="O19" s="119"/>
      <c r="P19" s="14"/>
      <c r="Q19" s="402"/>
      <c r="R19" s="402"/>
      <c r="S19" s="449"/>
      <c r="T19" s="356"/>
      <c r="U19" s="356"/>
      <c r="V19" s="356"/>
      <c r="W19" s="356"/>
      <c r="X19" s="356"/>
      <c r="Y19" s="356"/>
      <c r="Z19" s="356"/>
      <c r="AA19" s="356"/>
      <c r="AB19" s="356"/>
      <c r="AC19" s="450"/>
      <c r="AD19" s="119"/>
      <c r="AE19" s="14"/>
      <c r="AF19" s="402"/>
      <c r="AG19" s="402"/>
      <c r="AH19" s="449"/>
      <c r="AI19" s="356"/>
      <c r="AJ19" s="356"/>
      <c r="AK19" s="356"/>
      <c r="AL19" s="356"/>
      <c r="AM19" s="356"/>
      <c r="AN19" s="356"/>
      <c r="AO19" s="356"/>
      <c r="AP19" s="356"/>
      <c r="AQ19" s="356"/>
      <c r="AR19" s="450"/>
      <c r="AS19" s="119"/>
      <c r="AT19" s="14"/>
      <c r="AU19" s="402"/>
      <c r="AV19" s="402"/>
      <c r="AW19" s="449"/>
      <c r="AX19" s="356"/>
      <c r="AY19" s="356"/>
      <c r="AZ19" s="356"/>
      <c r="BA19" s="356"/>
      <c r="BB19" s="356"/>
      <c r="BC19" s="356"/>
      <c r="BD19" s="356"/>
      <c r="BE19" s="356"/>
      <c r="BF19" s="356"/>
      <c r="BG19" s="450"/>
      <c r="BH19" s="119"/>
    </row>
    <row r="20" spans="1:60" ht="11.25" customHeight="1">
      <c r="A20" s="14"/>
      <c r="B20" s="402"/>
      <c r="C20" s="110"/>
      <c r="D20" s="449"/>
      <c r="E20" s="356"/>
      <c r="F20" s="450"/>
      <c r="G20" s="114"/>
      <c r="H20" s="449"/>
      <c r="I20" s="356"/>
      <c r="J20" s="450"/>
      <c r="K20" s="114"/>
      <c r="L20" s="449"/>
      <c r="M20" s="356"/>
      <c r="N20" s="450"/>
      <c r="O20" s="119"/>
      <c r="P20" s="14"/>
      <c r="Q20" s="402"/>
      <c r="R20" s="402"/>
      <c r="S20" s="449"/>
      <c r="T20" s="356"/>
      <c r="U20" s="356"/>
      <c r="V20" s="356"/>
      <c r="W20" s="356"/>
      <c r="X20" s="356"/>
      <c r="Y20" s="356"/>
      <c r="Z20" s="356"/>
      <c r="AA20" s="356"/>
      <c r="AB20" s="356"/>
      <c r="AC20" s="450"/>
      <c r="AD20" s="119"/>
      <c r="AE20" s="14"/>
      <c r="AF20" s="402"/>
      <c r="AG20" s="402"/>
      <c r="AH20" s="449"/>
      <c r="AI20" s="356"/>
      <c r="AJ20" s="356"/>
      <c r="AK20" s="356"/>
      <c r="AL20" s="356"/>
      <c r="AM20" s="356"/>
      <c r="AN20" s="356"/>
      <c r="AO20" s="356"/>
      <c r="AP20" s="356"/>
      <c r="AQ20" s="356"/>
      <c r="AR20" s="450"/>
      <c r="AS20" s="119"/>
      <c r="AT20" s="14"/>
      <c r="AU20" s="402"/>
      <c r="AV20" s="402"/>
      <c r="AW20" s="449"/>
      <c r="AX20" s="356"/>
      <c r="AY20" s="356"/>
      <c r="AZ20" s="356"/>
      <c r="BA20" s="356"/>
      <c r="BB20" s="356"/>
      <c r="BC20" s="356"/>
      <c r="BD20" s="356"/>
      <c r="BE20" s="356"/>
      <c r="BF20" s="356"/>
      <c r="BG20" s="450"/>
      <c r="BH20" s="119"/>
    </row>
    <row r="21" spans="1:60" ht="6.75" customHeight="1">
      <c r="A21" s="14"/>
      <c r="B21" s="402"/>
      <c r="C21" s="110"/>
      <c r="D21" s="451"/>
      <c r="E21" s="452"/>
      <c r="F21" s="453"/>
      <c r="G21" s="120"/>
      <c r="H21" s="451"/>
      <c r="I21" s="452"/>
      <c r="J21" s="453"/>
      <c r="K21" s="120"/>
      <c r="L21" s="451"/>
      <c r="M21" s="452"/>
      <c r="N21" s="453"/>
      <c r="O21" s="119"/>
      <c r="P21" s="14"/>
      <c r="Q21" s="403"/>
      <c r="R21" s="402"/>
      <c r="S21" s="449"/>
      <c r="T21" s="356"/>
      <c r="U21" s="356"/>
      <c r="V21" s="356"/>
      <c r="W21" s="356"/>
      <c r="X21" s="356"/>
      <c r="Y21" s="356"/>
      <c r="Z21" s="356"/>
      <c r="AA21" s="356"/>
      <c r="AB21" s="356"/>
      <c r="AC21" s="450"/>
      <c r="AD21" s="119"/>
      <c r="AE21" s="14"/>
      <c r="AF21" s="403"/>
      <c r="AG21" s="402"/>
      <c r="AH21" s="449"/>
      <c r="AI21" s="356"/>
      <c r="AJ21" s="356"/>
      <c r="AK21" s="356"/>
      <c r="AL21" s="356"/>
      <c r="AM21" s="356"/>
      <c r="AN21" s="356"/>
      <c r="AO21" s="356"/>
      <c r="AP21" s="356"/>
      <c r="AQ21" s="356"/>
      <c r="AR21" s="450"/>
      <c r="AS21" s="119"/>
      <c r="AT21" s="14"/>
      <c r="AU21" s="403"/>
      <c r="AV21" s="402"/>
      <c r="AW21" s="449"/>
      <c r="AX21" s="356"/>
      <c r="AY21" s="356"/>
      <c r="AZ21" s="356"/>
      <c r="BA21" s="356"/>
      <c r="BB21" s="356"/>
      <c r="BC21" s="356"/>
      <c r="BD21" s="356"/>
      <c r="BE21" s="356"/>
      <c r="BF21" s="356"/>
      <c r="BG21" s="450"/>
      <c r="BH21" s="119"/>
    </row>
    <row r="22" spans="1:60" ht="11.25" customHeight="1">
      <c r="A22" s="14"/>
      <c r="B22" s="402"/>
      <c r="C22" s="107"/>
      <c r="D22" s="445" t="str">
        <f>IF(Roster!$AD$26=0,"",Roster!$AD$26)</f>
        <v>BIASED REFEREE</v>
      </c>
      <c r="E22" s="394"/>
      <c r="F22" s="395"/>
      <c r="G22" s="120"/>
      <c r="H22" s="445" t="str">
        <f>IF(Roster!$AD$27=0,"",Roster!$AD$27)</f>
        <v>OTHER INDUCEMENTS</v>
      </c>
      <c r="I22" s="394"/>
      <c r="J22" s="395"/>
      <c r="K22" s="120"/>
      <c r="L22" s="442" t="str">
        <f>IF(Roster!$AD$28=0,"",Roster!$AD$28)</f>
        <v>WANDERING APO</v>
      </c>
      <c r="M22" s="394"/>
      <c r="N22" s="395"/>
      <c r="O22" s="120"/>
      <c r="P22" s="14"/>
      <c r="Q22" s="109" t="str">
        <f>IF(Roster!$AN$1=0,"",Roster!$AN$1)</f>
        <v>COST</v>
      </c>
      <c r="R22" s="402"/>
      <c r="S22" s="449"/>
      <c r="T22" s="356"/>
      <c r="U22" s="356"/>
      <c r="V22" s="356"/>
      <c r="W22" s="356"/>
      <c r="X22" s="356"/>
      <c r="Y22" s="356"/>
      <c r="Z22" s="356"/>
      <c r="AA22" s="356"/>
      <c r="AB22" s="356"/>
      <c r="AC22" s="450"/>
      <c r="AD22" s="120"/>
      <c r="AE22" s="14"/>
      <c r="AF22" s="109" t="str">
        <f>IF(Roster!$AN$1=0,"",Roster!$AN$1)</f>
        <v>COST</v>
      </c>
      <c r="AG22" s="402"/>
      <c r="AH22" s="449"/>
      <c r="AI22" s="356"/>
      <c r="AJ22" s="356"/>
      <c r="AK22" s="356"/>
      <c r="AL22" s="356"/>
      <c r="AM22" s="356"/>
      <c r="AN22" s="356"/>
      <c r="AO22" s="356"/>
      <c r="AP22" s="356"/>
      <c r="AQ22" s="356"/>
      <c r="AR22" s="450"/>
      <c r="AS22" s="120"/>
      <c r="AT22" s="14"/>
      <c r="AU22" s="109" t="str">
        <f>IF(Roster!$AN$1=0,"",Roster!$AN$1)</f>
        <v>COST</v>
      </c>
      <c r="AV22" s="402"/>
      <c r="AW22" s="449"/>
      <c r="AX22" s="356"/>
      <c r="AY22" s="356"/>
      <c r="AZ22" s="356"/>
      <c r="BA22" s="356"/>
      <c r="BB22" s="356"/>
      <c r="BC22" s="356"/>
      <c r="BD22" s="356"/>
      <c r="BE22" s="356"/>
      <c r="BF22" s="356"/>
      <c r="BG22" s="450"/>
      <c r="BH22" s="120"/>
    </row>
    <row r="23" spans="1:60" ht="34.5" customHeight="1">
      <c r="A23" s="14"/>
      <c r="B23" s="403"/>
      <c r="C23" s="121"/>
      <c r="D23" s="455">
        <f>Roster!$AI$26</f>
        <v>0</v>
      </c>
      <c r="E23" s="394"/>
      <c r="F23" s="395"/>
      <c r="G23" s="120"/>
      <c r="H23" s="455">
        <f>Roster!$AI$27</f>
        <v>0</v>
      </c>
      <c r="I23" s="394"/>
      <c r="J23" s="395"/>
      <c r="K23" s="120"/>
      <c r="L23" s="455">
        <f>Roster!$AI$28</f>
        <v>0</v>
      </c>
      <c r="M23" s="394"/>
      <c r="N23" s="395"/>
      <c r="O23" s="120"/>
      <c r="P23" s="14"/>
      <c r="Q23" s="122">
        <f>IF(Roster!$AN$2=0,"",Roster!$AN$2)</f>
        <v>80000</v>
      </c>
      <c r="R23" s="403"/>
      <c r="S23" s="451"/>
      <c r="T23" s="452"/>
      <c r="U23" s="452"/>
      <c r="V23" s="452"/>
      <c r="W23" s="452"/>
      <c r="X23" s="452"/>
      <c r="Y23" s="452"/>
      <c r="Z23" s="452"/>
      <c r="AA23" s="452"/>
      <c r="AB23" s="452"/>
      <c r="AC23" s="453"/>
      <c r="AD23" s="120"/>
      <c r="AE23" s="14"/>
      <c r="AF23" s="122">
        <f>IF(Roster!$AN$3=0,"",Roster!$AN$3)</f>
        <v>100000</v>
      </c>
      <c r="AG23" s="403"/>
      <c r="AH23" s="451"/>
      <c r="AI23" s="452"/>
      <c r="AJ23" s="452"/>
      <c r="AK23" s="452"/>
      <c r="AL23" s="452"/>
      <c r="AM23" s="452"/>
      <c r="AN23" s="452"/>
      <c r="AO23" s="452"/>
      <c r="AP23" s="452"/>
      <c r="AQ23" s="452"/>
      <c r="AR23" s="453"/>
      <c r="AS23" s="120"/>
      <c r="AT23" s="14"/>
      <c r="AU23" s="122">
        <f>IF(Roster!$AN$4=0,"",Roster!$AN$4)</f>
        <v>100000</v>
      </c>
      <c r="AV23" s="403"/>
      <c r="AW23" s="451"/>
      <c r="AX23" s="452"/>
      <c r="AY23" s="452"/>
      <c r="AZ23" s="452"/>
      <c r="BA23" s="452"/>
      <c r="BB23" s="452"/>
      <c r="BC23" s="452"/>
      <c r="BD23" s="452"/>
      <c r="BE23" s="452"/>
      <c r="BF23" s="452"/>
      <c r="BG23" s="453"/>
      <c r="BH23" s="120"/>
    </row>
    <row r="24" spans="1:60" ht="4.5" customHeight="1">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c r="A26" s="14"/>
      <c r="B26" s="454" t="str">
        <f>IF(Roster!$A$5=0,"","#"&amp;Roster!$A$5)</f>
        <v>#4</v>
      </c>
      <c r="C26" s="105"/>
      <c r="D26" s="105"/>
      <c r="E26" s="105"/>
      <c r="F26" s="105"/>
      <c r="G26" s="105"/>
      <c r="H26" s="105"/>
      <c r="I26" s="105"/>
      <c r="J26" s="105"/>
      <c r="K26" s="105"/>
      <c r="L26" s="105"/>
      <c r="M26" s="105"/>
      <c r="N26" s="105"/>
      <c r="O26" s="105"/>
      <c r="P26" s="14"/>
      <c r="Q26" s="454" t="str">
        <f>IF(Roster!$A$6=0,"","#"&amp;Roster!$A$6)</f>
        <v>#5</v>
      </c>
      <c r="R26" s="105"/>
      <c r="S26" s="105"/>
      <c r="T26" s="105"/>
      <c r="U26" s="105"/>
      <c r="V26" s="105"/>
      <c r="W26" s="105"/>
      <c r="X26" s="105"/>
      <c r="Y26" s="105"/>
      <c r="Z26" s="105"/>
      <c r="AA26" s="105"/>
      <c r="AB26" s="105"/>
      <c r="AC26" s="105"/>
      <c r="AD26" s="105"/>
      <c r="AE26" s="14"/>
      <c r="AF26" s="454" t="str">
        <f>IF(Roster!$A$7=0,"","#"&amp;Roster!$A$7)</f>
        <v>#6</v>
      </c>
      <c r="AG26" s="105"/>
      <c r="AH26" s="105"/>
      <c r="AI26" s="105"/>
      <c r="AJ26" s="105"/>
      <c r="AK26" s="105"/>
      <c r="AL26" s="105"/>
      <c r="AM26" s="105"/>
      <c r="AN26" s="105"/>
      <c r="AO26" s="105"/>
      <c r="AP26" s="105"/>
      <c r="AQ26" s="105"/>
      <c r="AR26" s="105"/>
      <c r="AS26" s="105"/>
      <c r="AT26" s="14"/>
      <c r="AU26" s="454" t="str">
        <f>IF(Roster!$A$8=0,"","#"&amp;Roster!$A$8)</f>
        <v>#7</v>
      </c>
      <c r="AV26" s="105"/>
      <c r="AW26" s="105"/>
      <c r="AX26" s="105"/>
      <c r="AY26" s="105"/>
      <c r="AZ26" s="105"/>
      <c r="BA26" s="105"/>
      <c r="BB26" s="105"/>
      <c r="BC26" s="105"/>
      <c r="BD26" s="105"/>
      <c r="BE26" s="105"/>
      <c r="BF26" s="105"/>
      <c r="BG26" s="105"/>
      <c r="BH26" s="105"/>
    </row>
    <row r="27" spans="1:60" ht="15" customHeight="1">
      <c r="A27" s="14"/>
      <c r="B27" s="402"/>
      <c r="C27" s="444" t="str">
        <f>IF(Roster!$B$5=0,"",Roster!$B$5)</f>
        <v/>
      </c>
      <c r="D27" s="394"/>
      <c r="E27" s="394"/>
      <c r="F27" s="394"/>
      <c r="G27" s="394"/>
      <c r="H27" s="394"/>
      <c r="I27" s="394"/>
      <c r="J27" s="394"/>
      <c r="K27" s="394"/>
      <c r="L27" s="394"/>
      <c r="M27" s="394"/>
      <c r="N27" s="395"/>
      <c r="O27" s="105"/>
      <c r="P27" s="14"/>
      <c r="Q27" s="402"/>
      <c r="R27" s="444" t="str">
        <f>IF(Roster!$B$6=0,"",Roster!$B$6)</f>
        <v/>
      </c>
      <c r="S27" s="394"/>
      <c r="T27" s="394"/>
      <c r="U27" s="394"/>
      <c r="V27" s="394"/>
      <c r="W27" s="394"/>
      <c r="X27" s="394"/>
      <c r="Y27" s="394"/>
      <c r="Z27" s="394"/>
      <c r="AA27" s="394"/>
      <c r="AB27" s="394"/>
      <c r="AC27" s="395"/>
      <c r="AD27" s="105"/>
      <c r="AE27" s="14"/>
      <c r="AF27" s="402"/>
      <c r="AG27" s="444" t="str">
        <f>IF(Roster!$B$7=0,"",Roster!$B$7)</f>
        <v/>
      </c>
      <c r="AH27" s="394"/>
      <c r="AI27" s="394"/>
      <c r="AJ27" s="394"/>
      <c r="AK27" s="394"/>
      <c r="AL27" s="394"/>
      <c r="AM27" s="394"/>
      <c r="AN27" s="394"/>
      <c r="AO27" s="394"/>
      <c r="AP27" s="394"/>
      <c r="AQ27" s="394"/>
      <c r="AR27" s="395"/>
      <c r="AS27" s="105"/>
      <c r="AT27" s="14"/>
      <c r="AU27" s="402"/>
      <c r="AV27" s="444" t="str">
        <f>IF(Roster!$B$8=0,"",Roster!$B$8)</f>
        <v/>
      </c>
      <c r="AW27" s="394"/>
      <c r="AX27" s="394"/>
      <c r="AY27" s="394"/>
      <c r="AZ27" s="394"/>
      <c r="BA27" s="394"/>
      <c r="BB27" s="394"/>
      <c r="BC27" s="394"/>
      <c r="BD27" s="394"/>
      <c r="BE27" s="394"/>
      <c r="BF27" s="394"/>
      <c r="BG27" s="395"/>
      <c r="BH27" s="105"/>
    </row>
    <row r="28" spans="1:60" ht="11.25" customHeight="1">
      <c r="A28" s="14"/>
      <c r="B28" s="403"/>
      <c r="C28" s="442" t="str">
        <f>IF(Roster!$C$5=0,"",Roster!$C$5)</f>
        <v/>
      </c>
      <c r="D28" s="394"/>
      <c r="E28" s="394"/>
      <c r="F28" s="394"/>
      <c r="G28" s="394"/>
      <c r="H28" s="394"/>
      <c r="I28" s="394"/>
      <c r="J28" s="394"/>
      <c r="K28" s="394"/>
      <c r="L28" s="394"/>
      <c r="M28" s="394"/>
      <c r="N28" s="395"/>
      <c r="O28" s="106"/>
      <c r="P28" s="14"/>
      <c r="Q28" s="403"/>
      <c r="R28" s="442" t="str">
        <f>IF(Roster!$C$6=0,"",Roster!$C$6)</f>
        <v/>
      </c>
      <c r="S28" s="394"/>
      <c r="T28" s="394"/>
      <c r="U28" s="394"/>
      <c r="V28" s="394"/>
      <c r="W28" s="394"/>
      <c r="X28" s="394"/>
      <c r="Y28" s="394"/>
      <c r="Z28" s="394"/>
      <c r="AA28" s="394"/>
      <c r="AB28" s="394"/>
      <c r="AC28" s="395"/>
      <c r="AD28" s="106"/>
      <c r="AE28" s="14"/>
      <c r="AF28" s="403"/>
      <c r="AG28" s="442" t="str">
        <f>IF(Roster!$C$7=0,"",Roster!$C$7)</f>
        <v/>
      </c>
      <c r="AH28" s="394"/>
      <c r="AI28" s="394"/>
      <c r="AJ28" s="394"/>
      <c r="AK28" s="394"/>
      <c r="AL28" s="394"/>
      <c r="AM28" s="394"/>
      <c r="AN28" s="394"/>
      <c r="AO28" s="394"/>
      <c r="AP28" s="394"/>
      <c r="AQ28" s="394"/>
      <c r="AR28" s="395"/>
      <c r="AS28" s="106"/>
      <c r="AT28" s="14"/>
      <c r="AU28" s="403"/>
      <c r="AV28" s="442" t="str">
        <f>IF(Roster!$C$8=0,"",Roster!$C$8)</f>
        <v/>
      </c>
      <c r="AW28" s="394"/>
      <c r="AX28" s="394"/>
      <c r="AY28" s="394"/>
      <c r="AZ28" s="394"/>
      <c r="BA28" s="394"/>
      <c r="BB28" s="394"/>
      <c r="BC28" s="394"/>
      <c r="BD28" s="394"/>
      <c r="BE28" s="394"/>
      <c r="BF28" s="394"/>
      <c r="BG28" s="395"/>
      <c r="BH28" s="106"/>
    </row>
    <row r="29" spans="1:60" ht="11.25" customHeight="1">
      <c r="A29" s="14"/>
      <c r="B29" s="109" t="str">
        <f>IF(Roster!$J$1=0,"",Roster!$J$1)</f>
        <v>MA</v>
      </c>
      <c r="C29" s="457"/>
      <c r="D29" s="394"/>
      <c r="E29" s="394"/>
      <c r="F29" s="394"/>
      <c r="G29" s="394"/>
      <c r="H29" s="394"/>
      <c r="I29" s="394"/>
      <c r="J29" s="394"/>
      <c r="K29" s="394"/>
      <c r="L29" s="394"/>
      <c r="M29" s="394"/>
      <c r="N29" s="395"/>
      <c r="O29" s="105"/>
      <c r="P29" s="14"/>
      <c r="Q29" s="109" t="str">
        <f>IF(Roster!$J$1=0,"",Roster!$J$1)</f>
        <v>MA</v>
      </c>
      <c r="R29" s="457"/>
      <c r="S29" s="394"/>
      <c r="T29" s="394"/>
      <c r="U29" s="394"/>
      <c r="V29" s="394"/>
      <c r="W29" s="394"/>
      <c r="X29" s="394"/>
      <c r="Y29" s="394"/>
      <c r="Z29" s="394"/>
      <c r="AA29" s="394"/>
      <c r="AB29" s="394"/>
      <c r="AC29" s="395"/>
      <c r="AD29" s="105"/>
      <c r="AE29" s="14"/>
      <c r="AF29" s="109" t="str">
        <f>IF(Roster!$J$1=0,"",Roster!$J$1)</f>
        <v>MA</v>
      </c>
      <c r="AG29" s="457"/>
      <c r="AH29" s="394"/>
      <c r="AI29" s="394"/>
      <c r="AJ29" s="394"/>
      <c r="AK29" s="394"/>
      <c r="AL29" s="394"/>
      <c r="AM29" s="394"/>
      <c r="AN29" s="394"/>
      <c r="AO29" s="394"/>
      <c r="AP29" s="394"/>
      <c r="AQ29" s="394"/>
      <c r="AR29" s="395"/>
      <c r="AS29" s="105"/>
      <c r="AT29" s="14"/>
      <c r="AU29" s="109" t="str">
        <f>IF(Roster!$J$1=0,"",Roster!$J$1)</f>
        <v>MA</v>
      </c>
      <c r="AV29" s="457"/>
      <c r="AW29" s="394"/>
      <c r="AX29" s="394"/>
      <c r="AY29" s="394"/>
      <c r="AZ29" s="394"/>
      <c r="BA29" s="394"/>
      <c r="BB29" s="394"/>
      <c r="BC29" s="394"/>
      <c r="BD29" s="394"/>
      <c r="BE29" s="394"/>
      <c r="BF29" s="394"/>
      <c r="BG29" s="395"/>
      <c r="BH29" s="105"/>
    </row>
    <row r="30" spans="1:60" ht="37.5" customHeight="1">
      <c r="A30" s="14"/>
      <c r="B30" s="111" t="str">
        <f>IF(Roster!$J$5=0,"",Roster!$J$5)</f>
        <v/>
      </c>
      <c r="C30" s="461"/>
      <c r="D30" s="458"/>
      <c r="E30" s="447"/>
      <c r="F30" s="447"/>
      <c r="G30" s="447"/>
      <c r="H30" s="447"/>
      <c r="I30" s="447"/>
      <c r="J30" s="447"/>
      <c r="K30" s="447"/>
      <c r="L30" s="447"/>
      <c r="M30" s="447"/>
      <c r="N30" s="448"/>
      <c r="O30" s="105"/>
      <c r="P30" s="14"/>
      <c r="Q30" s="111" t="str">
        <f>IF(Roster!$J$6=0,"",Roster!$J$6)</f>
        <v/>
      </c>
      <c r="R30" s="461"/>
      <c r="S30" s="458"/>
      <c r="T30" s="447"/>
      <c r="U30" s="447"/>
      <c r="V30" s="447"/>
      <c r="W30" s="447"/>
      <c r="X30" s="447"/>
      <c r="Y30" s="447"/>
      <c r="Z30" s="447"/>
      <c r="AA30" s="447"/>
      <c r="AB30" s="447"/>
      <c r="AC30" s="448"/>
      <c r="AD30" s="105"/>
      <c r="AE30" s="14"/>
      <c r="AF30" s="111" t="str">
        <f>IF(Roster!$J$7=0,"",Roster!$J$7)</f>
        <v/>
      </c>
      <c r="AG30" s="461"/>
      <c r="AH30" s="458"/>
      <c r="AI30" s="447"/>
      <c r="AJ30" s="447"/>
      <c r="AK30" s="447"/>
      <c r="AL30" s="447"/>
      <c r="AM30" s="447"/>
      <c r="AN30" s="447"/>
      <c r="AO30" s="447"/>
      <c r="AP30" s="447"/>
      <c r="AQ30" s="447"/>
      <c r="AR30" s="448"/>
      <c r="AS30" s="105"/>
      <c r="AT30" s="14"/>
      <c r="AU30" s="111" t="str">
        <f>IF(Roster!$J$8=0,"",Roster!$J$8)</f>
        <v/>
      </c>
      <c r="AV30" s="461"/>
      <c r="AW30" s="458"/>
      <c r="AX30" s="447"/>
      <c r="AY30" s="447"/>
      <c r="AZ30" s="447"/>
      <c r="BA30" s="447"/>
      <c r="BB30" s="447"/>
      <c r="BC30" s="447"/>
      <c r="BD30" s="447"/>
      <c r="BE30" s="447"/>
      <c r="BF30" s="447"/>
      <c r="BG30" s="448"/>
      <c r="BH30" s="105"/>
    </row>
    <row r="31" spans="1:60" ht="11.25" customHeight="1">
      <c r="A31" s="14"/>
      <c r="B31" s="109" t="str">
        <f>IF(Roster!$K$1=0,"",Roster!$K$1)</f>
        <v>ST</v>
      </c>
      <c r="C31" s="402"/>
      <c r="D31" s="449"/>
      <c r="E31" s="356"/>
      <c r="F31" s="356"/>
      <c r="G31" s="356"/>
      <c r="H31" s="356"/>
      <c r="I31" s="356"/>
      <c r="J31" s="356"/>
      <c r="K31" s="356"/>
      <c r="L31" s="356"/>
      <c r="M31" s="356"/>
      <c r="N31" s="450"/>
      <c r="O31" s="105"/>
      <c r="P31" s="14"/>
      <c r="Q31" s="109" t="str">
        <f>IF(Roster!$K$1=0,"",Roster!$K$1)</f>
        <v>ST</v>
      </c>
      <c r="R31" s="402"/>
      <c r="S31" s="449"/>
      <c r="T31" s="356"/>
      <c r="U31" s="356"/>
      <c r="V31" s="356"/>
      <c r="W31" s="356"/>
      <c r="X31" s="356"/>
      <c r="Y31" s="356"/>
      <c r="Z31" s="356"/>
      <c r="AA31" s="356"/>
      <c r="AB31" s="356"/>
      <c r="AC31" s="450"/>
      <c r="AD31" s="105"/>
      <c r="AE31" s="14"/>
      <c r="AF31" s="109" t="str">
        <f>IF(Roster!$K$1=0,"",Roster!$K$1)</f>
        <v>ST</v>
      </c>
      <c r="AG31" s="402"/>
      <c r="AH31" s="449"/>
      <c r="AI31" s="356"/>
      <c r="AJ31" s="356"/>
      <c r="AK31" s="356"/>
      <c r="AL31" s="356"/>
      <c r="AM31" s="356"/>
      <c r="AN31" s="356"/>
      <c r="AO31" s="356"/>
      <c r="AP31" s="356"/>
      <c r="AQ31" s="356"/>
      <c r="AR31" s="450"/>
      <c r="AS31" s="105"/>
      <c r="AT31" s="14"/>
      <c r="AU31" s="109" t="str">
        <f>IF(Roster!$K$1=0,"",Roster!$K$1)</f>
        <v>ST</v>
      </c>
      <c r="AV31" s="402"/>
      <c r="AW31" s="449"/>
      <c r="AX31" s="356"/>
      <c r="AY31" s="356"/>
      <c r="AZ31" s="356"/>
      <c r="BA31" s="356"/>
      <c r="BB31" s="356"/>
      <c r="BC31" s="356"/>
      <c r="BD31" s="356"/>
      <c r="BE31" s="356"/>
      <c r="BF31" s="356"/>
      <c r="BG31" s="450"/>
      <c r="BH31" s="105"/>
    </row>
    <row r="32" spans="1:60" ht="37.5" customHeight="1">
      <c r="A32" s="14"/>
      <c r="B32" s="111" t="str">
        <f>IF(Roster!$K$5=0,"",Roster!$K$5)</f>
        <v/>
      </c>
      <c r="C32" s="402"/>
      <c r="D32" s="449"/>
      <c r="E32" s="356"/>
      <c r="F32" s="356"/>
      <c r="G32" s="356"/>
      <c r="H32" s="356"/>
      <c r="I32" s="356"/>
      <c r="J32" s="356"/>
      <c r="K32" s="356"/>
      <c r="L32" s="356"/>
      <c r="M32" s="356"/>
      <c r="N32" s="450"/>
      <c r="O32" s="105"/>
      <c r="P32" s="14"/>
      <c r="Q32" s="111" t="str">
        <f>IF(Roster!$K$6=0,"",Roster!$K$6)</f>
        <v/>
      </c>
      <c r="R32" s="402"/>
      <c r="S32" s="449"/>
      <c r="T32" s="356"/>
      <c r="U32" s="356"/>
      <c r="V32" s="356"/>
      <c r="W32" s="356"/>
      <c r="X32" s="356"/>
      <c r="Y32" s="356"/>
      <c r="Z32" s="356"/>
      <c r="AA32" s="356"/>
      <c r="AB32" s="356"/>
      <c r="AC32" s="450"/>
      <c r="AD32" s="105"/>
      <c r="AE32" s="14"/>
      <c r="AF32" s="111" t="str">
        <f>IF(Roster!$K$7=0,"",Roster!$K$7)</f>
        <v/>
      </c>
      <c r="AG32" s="402"/>
      <c r="AH32" s="449"/>
      <c r="AI32" s="356"/>
      <c r="AJ32" s="356"/>
      <c r="AK32" s="356"/>
      <c r="AL32" s="356"/>
      <c r="AM32" s="356"/>
      <c r="AN32" s="356"/>
      <c r="AO32" s="356"/>
      <c r="AP32" s="356"/>
      <c r="AQ32" s="356"/>
      <c r="AR32" s="450"/>
      <c r="AS32" s="105"/>
      <c r="AT32" s="14"/>
      <c r="AU32" s="111" t="str">
        <f>IF(Roster!$K$8=0,"",Roster!$K$8)</f>
        <v/>
      </c>
      <c r="AV32" s="402"/>
      <c r="AW32" s="449"/>
      <c r="AX32" s="356"/>
      <c r="AY32" s="356"/>
      <c r="AZ32" s="356"/>
      <c r="BA32" s="356"/>
      <c r="BB32" s="356"/>
      <c r="BC32" s="356"/>
      <c r="BD32" s="356"/>
      <c r="BE32" s="356"/>
      <c r="BF32" s="356"/>
      <c r="BG32" s="450"/>
      <c r="BH32" s="105"/>
    </row>
    <row r="33" spans="1:60" ht="11.25" customHeight="1">
      <c r="A33" s="14"/>
      <c r="B33" s="109" t="str">
        <f>IF(Roster!$L$1=0,"",Roster!$L$1)</f>
        <v>AG</v>
      </c>
      <c r="C33" s="402"/>
      <c r="D33" s="449"/>
      <c r="E33" s="356"/>
      <c r="F33" s="356"/>
      <c r="G33" s="356"/>
      <c r="H33" s="356"/>
      <c r="I33" s="356"/>
      <c r="J33" s="356"/>
      <c r="K33" s="356"/>
      <c r="L33" s="356"/>
      <c r="M33" s="356"/>
      <c r="N33" s="450"/>
      <c r="O33" s="105"/>
      <c r="P33" s="14"/>
      <c r="Q33" s="109" t="str">
        <f>IF(Roster!$L$1=0,"",Roster!$L$1)</f>
        <v>AG</v>
      </c>
      <c r="R33" s="402"/>
      <c r="S33" s="449"/>
      <c r="T33" s="356"/>
      <c r="U33" s="356"/>
      <c r="V33" s="356"/>
      <c r="W33" s="356"/>
      <c r="X33" s="356"/>
      <c r="Y33" s="356"/>
      <c r="Z33" s="356"/>
      <c r="AA33" s="356"/>
      <c r="AB33" s="356"/>
      <c r="AC33" s="450"/>
      <c r="AD33" s="105"/>
      <c r="AE33" s="14"/>
      <c r="AF33" s="109" t="str">
        <f>IF(Roster!$L$1=0,"",Roster!$L$1)</f>
        <v>AG</v>
      </c>
      <c r="AG33" s="402"/>
      <c r="AH33" s="449"/>
      <c r="AI33" s="356"/>
      <c r="AJ33" s="356"/>
      <c r="AK33" s="356"/>
      <c r="AL33" s="356"/>
      <c r="AM33" s="356"/>
      <c r="AN33" s="356"/>
      <c r="AO33" s="356"/>
      <c r="AP33" s="356"/>
      <c r="AQ33" s="356"/>
      <c r="AR33" s="450"/>
      <c r="AS33" s="105"/>
      <c r="AT33" s="14"/>
      <c r="AU33" s="109" t="str">
        <f>IF(Roster!$L$1=0,"",Roster!$L$1)</f>
        <v>AG</v>
      </c>
      <c r="AV33" s="402"/>
      <c r="AW33" s="449"/>
      <c r="AX33" s="356"/>
      <c r="AY33" s="356"/>
      <c r="AZ33" s="356"/>
      <c r="BA33" s="356"/>
      <c r="BB33" s="356"/>
      <c r="BC33" s="356"/>
      <c r="BD33" s="356"/>
      <c r="BE33" s="356"/>
      <c r="BF33" s="356"/>
      <c r="BG33" s="450"/>
      <c r="BH33" s="105"/>
    </row>
    <row r="34" spans="1:60" ht="37.5" customHeight="1">
      <c r="A34" s="14"/>
      <c r="B34" s="111" t="str">
        <f>IF(Roster!$L$5=0&amp;"+","",Roster!$L$5)</f>
        <v/>
      </c>
      <c r="C34" s="402"/>
      <c r="D34" s="449"/>
      <c r="E34" s="356"/>
      <c r="F34" s="356"/>
      <c r="G34" s="356"/>
      <c r="H34" s="356"/>
      <c r="I34" s="356"/>
      <c r="J34" s="356"/>
      <c r="K34" s="356"/>
      <c r="L34" s="356"/>
      <c r="M34" s="356"/>
      <c r="N34" s="450"/>
      <c r="O34" s="105"/>
      <c r="P34" s="14"/>
      <c r="Q34" s="111" t="str">
        <f>IF(Roster!$L$6=0&amp;"+","",Roster!$L$6)</f>
        <v/>
      </c>
      <c r="R34" s="402"/>
      <c r="S34" s="449"/>
      <c r="T34" s="356"/>
      <c r="U34" s="356"/>
      <c r="V34" s="356"/>
      <c r="W34" s="356"/>
      <c r="X34" s="356"/>
      <c r="Y34" s="356"/>
      <c r="Z34" s="356"/>
      <c r="AA34" s="356"/>
      <c r="AB34" s="356"/>
      <c r="AC34" s="450"/>
      <c r="AD34" s="105"/>
      <c r="AE34" s="14"/>
      <c r="AF34" s="111" t="str">
        <f>IF(Roster!$L$7=0&amp;"+","",Roster!$L$7)</f>
        <v/>
      </c>
      <c r="AG34" s="402"/>
      <c r="AH34" s="449"/>
      <c r="AI34" s="356"/>
      <c r="AJ34" s="356"/>
      <c r="AK34" s="356"/>
      <c r="AL34" s="356"/>
      <c r="AM34" s="356"/>
      <c r="AN34" s="356"/>
      <c r="AO34" s="356"/>
      <c r="AP34" s="356"/>
      <c r="AQ34" s="356"/>
      <c r="AR34" s="450"/>
      <c r="AS34" s="105"/>
      <c r="AT34" s="14"/>
      <c r="AU34" s="111" t="str">
        <f>IF(Roster!$L$8=0&amp;"+","",Roster!$L$8)</f>
        <v/>
      </c>
      <c r="AV34" s="402"/>
      <c r="AW34" s="449"/>
      <c r="AX34" s="356"/>
      <c r="AY34" s="356"/>
      <c r="AZ34" s="356"/>
      <c r="BA34" s="356"/>
      <c r="BB34" s="356"/>
      <c r="BC34" s="356"/>
      <c r="BD34" s="356"/>
      <c r="BE34" s="356"/>
      <c r="BF34" s="356"/>
      <c r="BG34" s="450"/>
      <c r="BH34" s="105"/>
    </row>
    <row r="35" spans="1:60" ht="11.25" customHeight="1">
      <c r="A35" s="14"/>
      <c r="B35" s="109" t="str">
        <f>IF(Roster!$M$1=0,"",Roster!$M$1)</f>
        <v>PA</v>
      </c>
      <c r="C35" s="402"/>
      <c r="D35" s="449"/>
      <c r="E35" s="356"/>
      <c r="F35" s="356"/>
      <c r="G35" s="356"/>
      <c r="H35" s="356"/>
      <c r="I35" s="356"/>
      <c r="J35" s="356"/>
      <c r="K35" s="356"/>
      <c r="L35" s="356"/>
      <c r="M35" s="356"/>
      <c r="N35" s="450"/>
      <c r="O35" s="114"/>
      <c r="P35" s="14"/>
      <c r="Q35" s="109" t="str">
        <f>IF(Roster!$M$1=0,"",Roster!$M$1)</f>
        <v>PA</v>
      </c>
      <c r="R35" s="402"/>
      <c r="S35" s="449"/>
      <c r="T35" s="356"/>
      <c r="U35" s="356"/>
      <c r="V35" s="356"/>
      <c r="W35" s="356"/>
      <c r="X35" s="356"/>
      <c r="Y35" s="356"/>
      <c r="Z35" s="356"/>
      <c r="AA35" s="356"/>
      <c r="AB35" s="356"/>
      <c r="AC35" s="450"/>
      <c r="AD35" s="114"/>
      <c r="AE35" s="14"/>
      <c r="AF35" s="109" t="str">
        <f>IF(Roster!$M$1=0,"",Roster!$M$1)</f>
        <v>PA</v>
      </c>
      <c r="AG35" s="402"/>
      <c r="AH35" s="449"/>
      <c r="AI35" s="356"/>
      <c r="AJ35" s="356"/>
      <c r="AK35" s="356"/>
      <c r="AL35" s="356"/>
      <c r="AM35" s="356"/>
      <c r="AN35" s="356"/>
      <c r="AO35" s="356"/>
      <c r="AP35" s="356"/>
      <c r="AQ35" s="356"/>
      <c r="AR35" s="450"/>
      <c r="AS35" s="114"/>
      <c r="AT35" s="14"/>
      <c r="AU35" s="109" t="str">
        <f>IF(Roster!$M$1=0,"",Roster!$M$1)</f>
        <v>PA</v>
      </c>
      <c r="AV35" s="402"/>
      <c r="AW35" s="449"/>
      <c r="AX35" s="356"/>
      <c r="AY35" s="356"/>
      <c r="AZ35" s="356"/>
      <c r="BA35" s="356"/>
      <c r="BB35" s="356"/>
      <c r="BC35" s="356"/>
      <c r="BD35" s="356"/>
      <c r="BE35" s="356"/>
      <c r="BF35" s="356"/>
      <c r="BG35" s="450"/>
      <c r="BH35" s="114"/>
    </row>
    <row r="36" spans="1:60" ht="6" customHeight="1">
      <c r="A36" s="14"/>
      <c r="B36" s="456" t="str">
        <f>IF(Roster!$M$5=0&amp;"+","",Roster!$M$5)</f>
        <v/>
      </c>
      <c r="C36" s="402"/>
      <c r="D36" s="451"/>
      <c r="E36" s="452"/>
      <c r="F36" s="452"/>
      <c r="G36" s="452"/>
      <c r="H36" s="452"/>
      <c r="I36" s="452"/>
      <c r="J36" s="452"/>
      <c r="K36" s="452"/>
      <c r="L36" s="452"/>
      <c r="M36" s="452"/>
      <c r="N36" s="453"/>
      <c r="O36" s="116"/>
      <c r="P36" s="14"/>
      <c r="Q36" s="456" t="str">
        <f>IF(Roster!$M$6=0&amp;"+","",Roster!$M$6)</f>
        <v/>
      </c>
      <c r="R36" s="402"/>
      <c r="S36" s="451"/>
      <c r="T36" s="452"/>
      <c r="U36" s="452"/>
      <c r="V36" s="452"/>
      <c r="W36" s="452"/>
      <c r="X36" s="452"/>
      <c r="Y36" s="452"/>
      <c r="Z36" s="452"/>
      <c r="AA36" s="452"/>
      <c r="AB36" s="452"/>
      <c r="AC36" s="453"/>
      <c r="AD36" s="116"/>
      <c r="AE36" s="14"/>
      <c r="AF36" s="456" t="str">
        <f>IF(Roster!$M$7=0&amp;"+","",Roster!$M$7)</f>
        <v/>
      </c>
      <c r="AG36" s="402"/>
      <c r="AH36" s="451"/>
      <c r="AI36" s="452"/>
      <c r="AJ36" s="452"/>
      <c r="AK36" s="452"/>
      <c r="AL36" s="452"/>
      <c r="AM36" s="452"/>
      <c r="AN36" s="452"/>
      <c r="AO36" s="452"/>
      <c r="AP36" s="452"/>
      <c r="AQ36" s="452"/>
      <c r="AR36" s="453"/>
      <c r="AS36" s="116"/>
      <c r="AT36" s="14"/>
      <c r="AU36" s="456" t="str">
        <f>IF(Roster!$M$8=0&amp;"+","",Roster!$M$8)</f>
        <v/>
      </c>
      <c r="AV36" s="402"/>
      <c r="AW36" s="451"/>
      <c r="AX36" s="452"/>
      <c r="AY36" s="452"/>
      <c r="AZ36" s="452"/>
      <c r="BA36" s="452"/>
      <c r="BB36" s="452"/>
      <c r="BC36" s="452"/>
      <c r="BD36" s="452"/>
      <c r="BE36" s="452"/>
      <c r="BF36" s="452"/>
      <c r="BG36" s="453"/>
      <c r="BH36" s="116"/>
    </row>
    <row r="37" spans="1:60" ht="4.5" customHeight="1">
      <c r="A37" s="14"/>
      <c r="B37" s="402"/>
      <c r="C37" s="402"/>
      <c r="D37" s="117"/>
      <c r="E37" s="118"/>
      <c r="F37" s="117"/>
      <c r="G37" s="118"/>
      <c r="H37" s="117"/>
      <c r="I37" s="118"/>
      <c r="J37" s="117"/>
      <c r="K37" s="118"/>
      <c r="L37" s="117"/>
      <c r="M37" s="118"/>
      <c r="N37" s="117"/>
      <c r="O37" s="116"/>
      <c r="P37" s="14"/>
      <c r="Q37" s="402"/>
      <c r="R37" s="402"/>
      <c r="S37" s="117"/>
      <c r="T37" s="118"/>
      <c r="U37" s="117"/>
      <c r="V37" s="118"/>
      <c r="W37" s="117"/>
      <c r="X37" s="118"/>
      <c r="Y37" s="117"/>
      <c r="Z37" s="118"/>
      <c r="AA37" s="117"/>
      <c r="AB37" s="118"/>
      <c r="AC37" s="117"/>
      <c r="AD37" s="116"/>
      <c r="AE37" s="14"/>
      <c r="AF37" s="402"/>
      <c r="AG37" s="402"/>
      <c r="AH37" s="117"/>
      <c r="AI37" s="118"/>
      <c r="AJ37" s="117"/>
      <c r="AK37" s="118"/>
      <c r="AL37" s="117"/>
      <c r="AM37" s="118"/>
      <c r="AN37" s="117"/>
      <c r="AO37" s="118"/>
      <c r="AP37" s="117"/>
      <c r="AQ37" s="118"/>
      <c r="AR37" s="117"/>
      <c r="AS37" s="116"/>
      <c r="AT37" s="14"/>
      <c r="AU37" s="402"/>
      <c r="AV37" s="402"/>
      <c r="AW37" s="117"/>
      <c r="AX37" s="118"/>
      <c r="AY37" s="117"/>
      <c r="AZ37" s="118"/>
      <c r="BA37" s="117"/>
      <c r="BB37" s="118"/>
      <c r="BC37" s="117"/>
      <c r="BD37" s="118"/>
      <c r="BE37" s="117"/>
      <c r="BF37" s="118"/>
      <c r="BG37" s="117"/>
      <c r="BH37" s="116"/>
    </row>
    <row r="38" spans="1:60" ht="11.25" customHeight="1">
      <c r="A38" s="14"/>
      <c r="B38" s="402"/>
      <c r="C38" s="402"/>
      <c r="D38" s="460" t="str">
        <f>IF(Roster!$J$24="Italiano","ABILITÀ &amp; TRATTI",(IF(Roster!$J$24="Español","HABILIDADES Y RASGOS","SKILLS &amp; TRAITS")))</f>
        <v>SKILLS &amp; TRAITS</v>
      </c>
      <c r="E38" s="394"/>
      <c r="F38" s="394"/>
      <c r="G38" s="394"/>
      <c r="H38" s="394"/>
      <c r="I38" s="394"/>
      <c r="J38" s="394"/>
      <c r="K38" s="394"/>
      <c r="L38" s="394"/>
      <c r="M38" s="394"/>
      <c r="N38" s="395"/>
      <c r="O38" s="116"/>
      <c r="P38" s="14"/>
      <c r="Q38" s="402"/>
      <c r="R38" s="402"/>
      <c r="S38" s="460" t="str">
        <f>IF(Roster!$J$24="Italiano","ABILITÀ &amp; TRATTI",(IF(Roster!$J$24="Español","HABILIDADES Y RASGOS","SKILLS &amp; TRAITS")))</f>
        <v>SKILLS &amp; TRAITS</v>
      </c>
      <c r="T38" s="394"/>
      <c r="U38" s="394"/>
      <c r="V38" s="394"/>
      <c r="W38" s="394"/>
      <c r="X38" s="394"/>
      <c r="Y38" s="394"/>
      <c r="Z38" s="394"/>
      <c r="AA38" s="394"/>
      <c r="AB38" s="394"/>
      <c r="AC38" s="395"/>
      <c r="AD38" s="116"/>
      <c r="AE38" s="14"/>
      <c r="AF38" s="402"/>
      <c r="AG38" s="402"/>
      <c r="AH38" s="460" t="str">
        <f>IF(Roster!$J$24="Italiano","ABILITÀ &amp; TRATTI",(IF(Roster!$J$24="Español","HABILIDADES Y RASGOS","SKILLS &amp; TRAITS")))</f>
        <v>SKILLS &amp; TRAITS</v>
      </c>
      <c r="AI38" s="394"/>
      <c r="AJ38" s="394"/>
      <c r="AK38" s="394"/>
      <c r="AL38" s="394"/>
      <c r="AM38" s="394"/>
      <c r="AN38" s="394"/>
      <c r="AO38" s="394"/>
      <c r="AP38" s="394"/>
      <c r="AQ38" s="394"/>
      <c r="AR38" s="395"/>
      <c r="AS38" s="116"/>
      <c r="AT38" s="14"/>
      <c r="AU38" s="402"/>
      <c r="AV38" s="402"/>
      <c r="AW38" s="460" t="str">
        <f>IF(Roster!$J$24="Italiano","ABILITÀ &amp; TRATTI",(IF(Roster!$J$24="Español","HABILIDADES Y RASGOS","SKILLS &amp; TRAITS")))</f>
        <v>SKILLS &amp; TRAITS</v>
      </c>
      <c r="AX38" s="394"/>
      <c r="AY38" s="394"/>
      <c r="AZ38" s="394"/>
      <c r="BA38" s="394"/>
      <c r="BB38" s="394"/>
      <c r="BC38" s="394"/>
      <c r="BD38" s="394"/>
      <c r="BE38" s="394"/>
      <c r="BF38" s="394"/>
      <c r="BG38" s="395"/>
      <c r="BH38" s="116"/>
    </row>
    <row r="39" spans="1:60" ht="15" customHeight="1">
      <c r="A39" s="14"/>
      <c r="B39" s="402"/>
      <c r="C39" s="402"/>
      <c r="D39" s="459" t="str">
        <f>IF(Roster!$O$5=0,"",Roster!$O$5&amp;Roster!BF5)</f>
        <v/>
      </c>
      <c r="E39" s="447"/>
      <c r="F39" s="447"/>
      <c r="G39" s="447"/>
      <c r="H39" s="447"/>
      <c r="I39" s="447"/>
      <c r="J39" s="447"/>
      <c r="K39" s="447"/>
      <c r="L39" s="447"/>
      <c r="M39" s="447"/>
      <c r="N39" s="448"/>
      <c r="O39" s="116"/>
      <c r="P39" s="14"/>
      <c r="Q39" s="402"/>
      <c r="R39" s="402"/>
      <c r="S39" s="459" t="str">
        <f>IF(Roster!$O$6=0,"",Roster!$O$6&amp;Roster!BF6)</f>
        <v/>
      </c>
      <c r="T39" s="447"/>
      <c r="U39" s="447"/>
      <c r="V39" s="447"/>
      <c r="W39" s="447"/>
      <c r="X39" s="447"/>
      <c r="Y39" s="447"/>
      <c r="Z39" s="447"/>
      <c r="AA39" s="447"/>
      <c r="AB39" s="447"/>
      <c r="AC39" s="448"/>
      <c r="AD39" s="116"/>
      <c r="AE39" s="14"/>
      <c r="AF39" s="402"/>
      <c r="AG39" s="402"/>
      <c r="AH39" s="459" t="str">
        <f>IF(Roster!$O$7=0,"",Roster!$O$7&amp;Roster!BF7)</f>
        <v/>
      </c>
      <c r="AI39" s="447"/>
      <c r="AJ39" s="447"/>
      <c r="AK39" s="447"/>
      <c r="AL39" s="447"/>
      <c r="AM39" s="447"/>
      <c r="AN39" s="447"/>
      <c r="AO39" s="447"/>
      <c r="AP39" s="447"/>
      <c r="AQ39" s="447"/>
      <c r="AR39" s="448"/>
      <c r="AS39" s="116"/>
      <c r="AT39" s="14"/>
      <c r="AU39" s="402"/>
      <c r="AV39" s="402"/>
      <c r="AW39" s="459" t="str">
        <f>IF(Roster!$O$8=0,"",Roster!$O$8&amp;Roster!BF8)</f>
        <v/>
      </c>
      <c r="AX39" s="447"/>
      <c r="AY39" s="447"/>
      <c r="AZ39" s="447"/>
      <c r="BA39" s="447"/>
      <c r="BB39" s="447"/>
      <c r="BC39" s="447"/>
      <c r="BD39" s="447"/>
      <c r="BE39" s="447"/>
      <c r="BF39" s="447"/>
      <c r="BG39" s="448"/>
      <c r="BH39" s="116"/>
    </row>
    <row r="40" spans="1:60" ht="4.5" customHeight="1">
      <c r="A40" s="14"/>
      <c r="B40" s="403"/>
      <c r="C40" s="402"/>
      <c r="D40" s="449"/>
      <c r="E40" s="356"/>
      <c r="F40" s="356"/>
      <c r="G40" s="356"/>
      <c r="H40" s="356"/>
      <c r="I40" s="356"/>
      <c r="J40" s="356"/>
      <c r="K40" s="356"/>
      <c r="L40" s="356"/>
      <c r="M40" s="356"/>
      <c r="N40" s="450"/>
      <c r="O40" s="116"/>
      <c r="P40" s="14"/>
      <c r="Q40" s="403"/>
      <c r="R40" s="402"/>
      <c r="S40" s="449"/>
      <c r="T40" s="356"/>
      <c r="U40" s="356"/>
      <c r="V40" s="356"/>
      <c r="W40" s="356"/>
      <c r="X40" s="356"/>
      <c r="Y40" s="356"/>
      <c r="Z40" s="356"/>
      <c r="AA40" s="356"/>
      <c r="AB40" s="356"/>
      <c r="AC40" s="450"/>
      <c r="AD40" s="116"/>
      <c r="AE40" s="14"/>
      <c r="AF40" s="403"/>
      <c r="AG40" s="402"/>
      <c r="AH40" s="449"/>
      <c r="AI40" s="356"/>
      <c r="AJ40" s="356"/>
      <c r="AK40" s="356"/>
      <c r="AL40" s="356"/>
      <c r="AM40" s="356"/>
      <c r="AN40" s="356"/>
      <c r="AO40" s="356"/>
      <c r="AP40" s="356"/>
      <c r="AQ40" s="356"/>
      <c r="AR40" s="450"/>
      <c r="AS40" s="116"/>
      <c r="AT40" s="14"/>
      <c r="AU40" s="403"/>
      <c r="AV40" s="402"/>
      <c r="AW40" s="449"/>
      <c r="AX40" s="356"/>
      <c r="AY40" s="356"/>
      <c r="AZ40" s="356"/>
      <c r="BA40" s="356"/>
      <c r="BB40" s="356"/>
      <c r="BC40" s="356"/>
      <c r="BD40" s="356"/>
      <c r="BE40" s="356"/>
      <c r="BF40" s="356"/>
      <c r="BG40" s="450"/>
      <c r="BH40" s="116"/>
    </row>
    <row r="41" spans="1:60" ht="11.25" customHeight="1">
      <c r="A41" s="14"/>
      <c r="B41" s="109" t="str">
        <f>IF(Roster!$N$1=0,"",Roster!$N$1)</f>
        <v>AV</v>
      </c>
      <c r="C41" s="402"/>
      <c r="D41" s="449"/>
      <c r="E41" s="356"/>
      <c r="F41" s="356"/>
      <c r="G41" s="356"/>
      <c r="H41" s="356"/>
      <c r="I41" s="356"/>
      <c r="J41" s="356"/>
      <c r="K41" s="356"/>
      <c r="L41" s="356"/>
      <c r="M41" s="356"/>
      <c r="N41" s="450"/>
      <c r="O41" s="105"/>
      <c r="P41" s="14"/>
      <c r="Q41" s="109" t="str">
        <f>IF(Roster!$N$1=0,"",Roster!$N$1)</f>
        <v>AV</v>
      </c>
      <c r="R41" s="402"/>
      <c r="S41" s="449"/>
      <c r="T41" s="356"/>
      <c r="U41" s="356"/>
      <c r="V41" s="356"/>
      <c r="W41" s="356"/>
      <c r="X41" s="356"/>
      <c r="Y41" s="356"/>
      <c r="Z41" s="356"/>
      <c r="AA41" s="356"/>
      <c r="AB41" s="356"/>
      <c r="AC41" s="450"/>
      <c r="AD41" s="105"/>
      <c r="AE41" s="14"/>
      <c r="AF41" s="109" t="str">
        <f>IF(Roster!$N$1=0,"",Roster!$N$1)</f>
        <v>AV</v>
      </c>
      <c r="AG41" s="402"/>
      <c r="AH41" s="449"/>
      <c r="AI41" s="356"/>
      <c r="AJ41" s="356"/>
      <c r="AK41" s="356"/>
      <c r="AL41" s="356"/>
      <c r="AM41" s="356"/>
      <c r="AN41" s="356"/>
      <c r="AO41" s="356"/>
      <c r="AP41" s="356"/>
      <c r="AQ41" s="356"/>
      <c r="AR41" s="450"/>
      <c r="AS41" s="105"/>
      <c r="AT41" s="14"/>
      <c r="AU41" s="109" t="str">
        <f>IF(Roster!$N$1=0,"",Roster!$N$1)</f>
        <v>AV</v>
      </c>
      <c r="AV41" s="402"/>
      <c r="AW41" s="449"/>
      <c r="AX41" s="356"/>
      <c r="AY41" s="356"/>
      <c r="AZ41" s="356"/>
      <c r="BA41" s="356"/>
      <c r="BB41" s="356"/>
      <c r="BC41" s="356"/>
      <c r="BD41" s="356"/>
      <c r="BE41" s="356"/>
      <c r="BF41" s="356"/>
      <c r="BG41" s="450"/>
      <c r="BH41" s="105"/>
    </row>
    <row r="42" spans="1:60" ht="15" customHeight="1">
      <c r="A42" s="14"/>
      <c r="B42" s="456" t="str">
        <f>IF(Roster!$N$5=0&amp;"+","",Roster!$N$5)</f>
        <v/>
      </c>
      <c r="C42" s="402"/>
      <c r="D42" s="449"/>
      <c r="E42" s="356"/>
      <c r="F42" s="356"/>
      <c r="G42" s="356"/>
      <c r="H42" s="356"/>
      <c r="I42" s="356"/>
      <c r="J42" s="356"/>
      <c r="K42" s="356"/>
      <c r="L42" s="356"/>
      <c r="M42" s="356"/>
      <c r="N42" s="450"/>
      <c r="O42" s="119"/>
      <c r="P42" s="14"/>
      <c r="Q42" s="456" t="str">
        <f>IF(Roster!$N$6=0&amp;"+","",Roster!$N$6)</f>
        <v/>
      </c>
      <c r="R42" s="402"/>
      <c r="S42" s="449"/>
      <c r="T42" s="356"/>
      <c r="U42" s="356"/>
      <c r="V42" s="356"/>
      <c r="W42" s="356"/>
      <c r="X42" s="356"/>
      <c r="Y42" s="356"/>
      <c r="Z42" s="356"/>
      <c r="AA42" s="356"/>
      <c r="AB42" s="356"/>
      <c r="AC42" s="450"/>
      <c r="AD42" s="119"/>
      <c r="AE42" s="14"/>
      <c r="AF42" s="456" t="str">
        <f>IF(Roster!$N$7=0&amp;"+","",Roster!$N$7)</f>
        <v/>
      </c>
      <c r="AG42" s="402"/>
      <c r="AH42" s="449"/>
      <c r="AI42" s="356"/>
      <c r="AJ42" s="356"/>
      <c r="AK42" s="356"/>
      <c r="AL42" s="356"/>
      <c r="AM42" s="356"/>
      <c r="AN42" s="356"/>
      <c r="AO42" s="356"/>
      <c r="AP42" s="356"/>
      <c r="AQ42" s="356"/>
      <c r="AR42" s="450"/>
      <c r="AS42" s="119"/>
      <c r="AT42" s="14"/>
      <c r="AU42" s="456" t="str">
        <f>IF(Roster!$N$8=0&amp;"+","",Roster!$N$8)</f>
        <v/>
      </c>
      <c r="AV42" s="402"/>
      <c r="AW42" s="449"/>
      <c r="AX42" s="356"/>
      <c r="AY42" s="356"/>
      <c r="AZ42" s="356"/>
      <c r="BA42" s="356"/>
      <c r="BB42" s="356"/>
      <c r="BC42" s="356"/>
      <c r="BD42" s="356"/>
      <c r="BE42" s="356"/>
      <c r="BF42" s="356"/>
      <c r="BG42" s="450"/>
      <c r="BH42" s="119"/>
    </row>
    <row r="43" spans="1:60" ht="4.5" customHeight="1">
      <c r="A43" s="14"/>
      <c r="B43" s="402"/>
      <c r="C43" s="402"/>
      <c r="D43" s="449"/>
      <c r="E43" s="356"/>
      <c r="F43" s="356"/>
      <c r="G43" s="356"/>
      <c r="H43" s="356"/>
      <c r="I43" s="356"/>
      <c r="J43" s="356"/>
      <c r="K43" s="356"/>
      <c r="L43" s="356"/>
      <c r="M43" s="356"/>
      <c r="N43" s="450"/>
      <c r="O43" s="119"/>
      <c r="P43" s="14"/>
      <c r="Q43" s="402"/>
      <c r="R43" s="402"/>
      <c r="S43" s="449"/>
      <c r="T43" s="356"/>
      <c r="U43" s="356"/>
      <c r="V43" s="356"/>
      <c r="W43" s="356"/>
      <c r="X43" s="356"/>
      <c r="Y43" s="356"/>
      <c r="Z43" s="356"/>
      <c r="AA43" s="356"/>
      <c r="AB43" s="356"/>
      <c r="AC43" s="450"/>
      <c r="AD43" s="119"/>
      <c r="AE43" s="14"/>
      <c r="AF43" s="402"/>
      <c r="AG43" s="402"/>
      <c r="AH43" s="449"/>
      <c r="AI43" s="356"/>
      <c r="AJ43" s="356"/>
      <c r="AK43" s="356"/>
      <c r="AL43" s="356"/>
      <c r="AM43" s="356"/>
      <c r="AN43" s="356"/>
      <c r="AO43" s="356"/>
      <c r="AP43" s="356"/>
      <c r="AQ43" s="356"/>
      <c r="AR43" s="450"/>
      <c r="AS43" s="119"/>
      <c r="AT43" s="14"/>
      <c r="AU43" s="402"/>
      <c r="AV43" s="402"/>
      <c r="AW43" s="449"/>
      <c r="AX43" s="356"/>
      <c r="AY43" s="356"/>
      <c r="AZ43" s="356"/>
      <c r="BA43" s="356"/>
      <c r="BB43" s="356"/>
      <c r="BC43" s="356"/>
      <c r="BD43" s="356"/>
      <c r="BE43" s="356"/>
      <c r="BF43" s="356"/>
      <c r="BG43" s="450"/>
      <c r="BH43" s="119"/>
    </row>
    <row r="44" spans="1:60" ht="11.25" customHeight="1">
      <c r="A44" s="14"/>
      <c r="B44" s="402"/>
      <c r="C44" s="402"/>
      <c r="D44" s="449"/>
      <c r="E44" s="356"/>
      <c r="F44" s="356"/>
      <c r="G44" s="356"/>
      <c r="H44" s="356"/>
      <c r="I44" s="356"/>
      <c r="J44" s="356"/>
      <c r="K44" s="356"/>
      <c r="L44" s="356"/>
      <c r="M44" s="356"/>
      <c r="N44" s="450"/>
      <c r="O44" s="119"/>
      <c r="P44" s="14"/>
      <c r="Q44" s="402"/>
      <c r="R44" s="402"/>
      <c r="S44" s="449"/>
      <c r="T44" s="356"/>
      <c r="U44" s="356"/>
      <c r="V44" s="356"/>
      <c r="W44" s="356"/>
      <c r="X44" s="356"/>
      <c r="Y44" s="356"/>
      <c r="Z44" s="356"/>
      <c r="AA44" s="356"/>
      <c r="AB44" s="356"/>
      <c r="AC44" s="450"/>
      <c r="AD44" s="119"/>
      <c r="AE44" s="14"/>
      <c r="AF44" s="402"/>
      <c r="AG44" s="402"/>
      <c r="AH44" s="449"/>
      <c r="AI44" s="356"/>
      <c r="AJ44" s="356"/>
      <c r="AK44" s="356"/>
      <c r="AL44" s="356"/>
      <c r="AM44" s="356"/>
      <c r="AN44" s="356"/>
      <c r="AO44" s="356"/>
      <c r="AP44" s="356"/>
      <c r="AQ44" s="356"/>
      <c r="AR44" s="450"/>
      <c r="AS44" s="119"/>
      <c r="AT44" s="14"/>
      <c r="AU44" s="402"/>
      <c r="AV44" s="402"/>
      <c r="AW44" s="449"/>
      <c r="AX44" s="356"/>
      <c r="AY44" s="356"/>
      <c r="AZ44" s="356"/>
      <c r="BA44" s="356"/>
      <c r="BB44" s="356"/>
      <c r="BC44" s="356"/>
      <c r="BD44" s="356"/>
      <c r="BE44" s="356"/>
      <c r="BF44" s="356"/>
      <c r="BG44" s="450"/>
      <c r="BH44" s="119"/>
    </row>
    <row r="45" spans="1:60" ht="6.75" customHeight="1">
      <c r="A45" s="14"/>
      <c r="B45" s="403"/>
      <c r="C45" s="402"/>
      <c r="D45" s="449"/>
      <c r="E45" s="356"/>
      <c r="F45" s="356"/>
      <c r="G45" s="356"/>
      <c r="H45" s="356"/>
      <c r="I45" s="356"/>
      <c r="J45" s="356"/>
      <c r="K45" s="356"/>
      <c r="L45" s="356"/>
      <c r="M45" s="356"/>
      <c r="N45" s="450"/>
      <c r="O45" s="119"/>
      <c r="P45" s="14"/>
      <c r="Q45" s="403"/>
      <c r="R45" s="402"/>
      <c r="S45" s="449"/>
      <c r="T45" s="356"/>
      <c r="U45" s="356"/>
      <c r="V45" s="356"/>
      <c r="W45" s="356"/>
      <c r="X45" s="356"/>
      <c r="Y45" s="356"/>
      <c r="Z45" s="356"/>
      <c r="AA45" s="356"/>
      <c r="AB45" s="356"/>
      <c r="AC45" s="450"/>
      <c r="AD45" s="119"/>
      <c r="AE45" s="14"/>
      <c r="AF45" s="403"/>
      <c r="AG45" s="402"/>
      <c r="AH45" s="449"/>
      <c r="AI45" s="356"/>
      <c r="AJ45" s="356"/>
      <c r="AK45" s="356"/>
      <c r="AL45" s="356"/>
      <c r="AM45" s="356"/>
      <c r="AN45" s="356"/>
      <c r="AO45" s="356"/>
      <c r="AP45" s="356"/>
      <c r="AQ45" s="356"/>
      <c r="AR45" s="450"/>
      <c r="AS45" s="119"/>
      <c r="AT45" s="14"/>
      <c r="AU45" s="403"/>
      <c r="AV45" s="402"/>
      <c r="AW45" s="449"/>
      <c r="AX45" s="356"/>
      <c r="AY45" s="356"/>
      <c r="AZ45" s="356"/>
      <c r="BA45" s="356"/>
      <c r="BB45" s="356"/>
      <c r="BC45" s="356"/>
      <c r="BD45" s="356"/>
      <c r="BE45" s="356"/>
      <c r="BF45" s="356"/>
      <c r="BG45" s="450"/>
      <c r="BH45" s="119"/>
    </row>
    <row r="46" spans="1:60" ht="11.25" customHeight="1">
      <c r="A46" s="14"/>
      <c r="B46" s="109" t="str">
        <f>IF(Roster!$AN$1=0,"",Roster!$AN$1)</f>
        <v>COST</v>
      </c>
      <c r="C46" s="402"/>
      <c r="D46" s="449"/>
      <c r="E46" s="356"/>
      <c r="F46" s="356"/>
      <c r="G46" s="356"/>
      <c r="H46" s="356"/>
      <c r="I46" s="356"/>
      <c r="J46" s="356"/>
      <c r="K46" s="356"/>
      <c r="L46" s="356"/>
      <c r="M46" s="356"/>
      <c r="N46" s="450"/>
      <c r="O46" s="120"/>
      <c r="P46" s="14"/>
      <c r="Q46" s="109" t="str">
        <f>IF(Roster!$AN$1=0,"",Roster!$AN$1)</f>
        <v>COST</v>
      </c>
      <c r="R46" s="402"/>
      <c r="S46" s="449"/>
      <c r="T46" s="356"/>
      <c r="U46" s="356"/>
      <c r="V46" s="356"/>
      <c r="W46" s="356"/>
      <c r="X46" s="356"/>
      <c r="Y46" s="356"/>
      <c r="Z46" s="356"/>
      <c r="AA46" s="356"/>
      <c r="AB46" s="356"/>
      <c r="AC46" s="450"/>
      <c r="AD46" s="120"/>
      <c r="AE46" s="14"/>
      <c r="AF46" s="109" t="str">
        <f>IF(Roster!$AN$1=0,"",Roster!$AN$1)</f>
        <v>COST</v>
      </c>
      <c r="AG46" s="402"/>
      <c r="AH46" s="449"/>
      <c r="AI46" s="356"/>
      <c r="AJ46" s="356"/>
      <c r="AK46" s="356"/>
      <c r="AL46" s="356"/>
      <c r="AM46" s="356"/>
      <c r="AN46" s="356"/>
      <c r="AO46" s="356"/>
      <c r="AP46" s="356"/>
      <c r="AQ46" s="356"/>
      <c r="AR46" s="450"/>
      <c r="AS46" s="120"/>
      <c r="AT46" s="14"/>
      <c r="AU46" s="109" t="str">
        <f>IF(Roster!$AN$1=0,"",Roster!$AN$1)</f>
        <v>COST</v>
      </c>
      <c r="AV46" s="402"/>
      <c r="AW46" s="449"/>
      <c r="AX46" s="356"/>
      <c r="AY46" s="356"/>
      <c r="AZ46" s="356"/>
      <c r="BA46" s="356"/>
      <c r="BB46" s="356"/>
      <c r="BC46" s="356"/>
      <c r="BD46" s="356"/>
      <c r="BE46" s="356"/>
      <c r="BF46" s="356"/>
      <c r="BG46" s="450"/>
      <c r="BH46" s="120"/>
    </row>
    <row r="47" spans="1:60" ht="34.5" customHeight="1">
      <c r="A47" s="14"/>
      <c r="B47" s="122" t="str">
        <f>IF(Roster!$AN$5=0,"",Roster!$AN$5)</f>
        <v/>
      </c>
      <c r="C47" s="403"/>
      <c r="D47" s="451"/>
      <c r="E47" s="452"/>
      <c r="F47" s="452"/>
      <c r="G47" s="452"/>
      <c r="H47" s="452"/>
      <c r="I47" s="452"/>
      <c r="J47" s="452"/>
      <c r="K47" s="452"/>
      <c r="L47" s="452"/>
      <c r="M47" s="452"/>
      <c r="N47" s="453"/>
      <c r="O47" s="120"/>
      <c r="P47" s="14"/>
      <c r="Q47" s="122" t="str">
        <f>IF(Roster!$AN$6=0,"",Roster!$AN$6)</f>
        <v/>
      </c>
      <c r="R47" s="403"/>
      <c r="S47" s="451"/>
      <c r="T47" s="452"/>
      <c r="U47" s="452"/>
      <c r="V47" s="452"/>
      <c r="W47" s="452"/>
      <c r="X47" s="452"/>
      <c r="Y47" s="452"/>
      <c r="Z47" s="452"/>
      <c r="AA47" s="452"/>
      <c r="AB47" s="452"/>
      <c r="AC47" s="453"/>
      <c r="AD47" s="120"/>
      <c r="AE47" s="14"/>
      <c r="AF47" s="122" t="str">
        <f>IF(Roster!$AN$7=0,"",Roster!$AN$7)</f>
        <v/>
      </c>
      <c r="AG47" s="403"/>
      <c r="AH47" s="451"/>
      <c r="AI47" s="452"/>
      <c r="AJ47" s="452"/>
      <c r="AK47" s="452"/>
      <c r="AL47" s="452"/>
      <c r="AM47" s="452"/>
      <c r="AN47" s="452"/>
      <c r="AO47" s="452"/>
      <c r="AP47" s="452"/>
      <c r="AQ47" s="452"/>
      <c r="AR47" s="453"/>
      <c r="AS47" s="120"/>
      <c r="AT47" s="14"/>
      <c r="AU47" s="122" t="str">
        <f>IF(Roster!$AN$8=0,"",Roster!$AN$8)</f>
        <v/>
      </c>
      <c r="AV47" s="403"/>
      <c r="AW47" s="451"/>
      <c r="AX47" s="452"/>
      <c r="AY47" s="452"/>
      <c r="AZ47" s="452"/>
      <c r="BA47" s="452"/>
      <c r="BB47" s="452"/>
      <c r="BC47" s="452"/>
      <c r="BD47" s="452"/>
      <c r="BE47" s="452"/>
      <c r="BF47" s="452"/>
      <c r="BG47" s="453"/>
      <c r="BH47" s="120"/>
    </row>
    <row r="48" spans="1:60" ht="4.5" customHeight="1">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c r="A50" s="14"/>
      <c r="B50" s="454" t="str">
        <f>IF(Roster!$A$9=0,"","#"&amp;Roster!$A$9)</f>
        <v>#8</v>
      </c>
      <c r="C50" s="105"/>
      <c r="D50" s="105"/>
      <c r="E50" s="105"/>
      <c r="F50" s="105"/>
      <c r="G50" s="105"/>
      <c r="H50" s="105"/>
      <c r="I50" s="105"/>
      <c r="J50" s="105"/>
      <c r="K50" s="105"/>
      <c r="L50" s="105"/>
      <c r="M50" s="105"/>
      <c r="N50" s="105"/>
      <c r="O50" s="105"/>
      <c r="P50" s="14"/>
      <c r="Q50" s="454" t="str">
        <f>IF(Roster!$A$10=0,"","#"&amp;Roster!$A$10)</f>
        <v>#9</v>
      </c>
      <c r="R50" s="105"/>
      <c r="S50" s="105"/>
      <c r="T50" s="105"/>
      <c r="U50" s="105"/>
      <c r="V50" s="105"/>
      <c r="W50" s="105"/>
      <c r="X50" s="105"/>
      <c r="Y50" s="105"/>
      <c r="Z50" s="105"/>
      <c r="AA50" s="105"/>
      <c r="AB50" s="105"/>
      <c r="AC50" s="105"/>
      <c r="AD50" s="105"/>
      <c r="AE50" s="14"/>
      <c r="AF50" s="454" t="str">
        <f>IF(Roster!$A$11=0,"","#"&amp;Roster!$A$11)</f>
        <v>#10</v>
      </c>
      <c r="AG50" s="105"/>
      <c r="AH50" s="105"/>
      <c r="AI50" s="105"/>
      <c r="AJ50" s="105"/>
      <c r="AK50" s="105"/>
      <c r="AL50" s="105"/>
      <c r="AM50" s="105"/>
      <c r="AN50" s="105"/>
      <c r="AO50" s="105"/>
      <c r="AP50" s="105"/>
      <c r="AQ50" s="105"/>
      <c r="AR50" s="105"/>
      <c r="AS50" s="105"/>
      <c r="AT50" s="14"/>
      <c r="AU50" s="454" t="str">
        <f>IF(Roster!$A$12=0,"","#"&amp;Roster!$A$12)</f>
        <v>#11</v>
      </c>
      <c r="AV50" s="105"/>
      <c r="AW50" s="105"/>
      <c r="AX50" s="105"/>
      <c r="AY50" s="105"/>
      <c r="AZ50" s="105"/>
      <c r="BA50" s="105"/>
      <c r="BB50" s="105"/>
      <c r="BC50" s="105"/>
      <c r="BD50" s="105"/>
      <c r="BE50" s="105"/>
      <c r="BF50" s="105"/>
      <c r="BG50" s="105"/>
      <c r="BH50" s="105"/>
    </row>
    <row r="51" spans="1:60" ht="15" customHeight="1">
      <c r="A51" s="14"/>
      <c r="B51" s="402"/>
      <c r="C51" s="444" t="str">
        <f>IF(Roster!$B$9=0,"",Roster!$B$9)</f>
        <v>Pungolo</v>
      </c>
      <c r="D51" s="394"/>
      <c r="E51" s="394"/>
      <c r="F51" s="394"/>
      <c r="G51" s="394"/>
      <c r="H51" s="394"/>
      <c r="I51" s="394"/>
      <c r="J51" s="394"/>
      <c r="K51" s="394"/>
      <c r="L51" s="394"/>
      <c r="M51" s="394"/>
      <c r="N51" s="395"/>
      <c r="O51" s="105"/>
      <c r="P51" s="14"/>
      <c r="Q51" s="402"/>
      <c r="R51" s="444" t="str">
        <f>IF(Roster!$B$10=0,"",Roster!$B$10)</f>
        <v>Shusui</v>
      </c>
      <c r="S51" s="394"/>
      <c r="T51" s="394"/>
      <c r="U51" s="394"/>
      <c r="V51" s="394"/>
      <c r="W51" s="394"/>
      <c r="X51" s="394"/>
      <c r="Y51" s="394"/>
      <c r="Z51" s="394"/>
      <c r="AA51" s="394"/>
      <c r="AB51" s="394"/>
      <c r="AC51" s="395"/>
      <c r="AD51" s="105"/>
      <c r="AE51" s="14"/>
      <c r="AF51" s="402"/>
      <c r="AG51" s="444" t="str">
        <f>IF(Roster!$B$11=0,"",Roster!$B$11)</f>
        <v>Narsil</v>
      </c>
      <c r="AH51" s="394"/>
      <c r="AI51" s="394"/>
      <c r="AJ51" s="394"/>
      <c r="AK51" s="394"/>
      <c r="AL51" s="394"/>
      <c r="AM51" s="394"/>
      <c r="AN51" s="394"/>
      <c r="AO51" s="394"/>
      <c r="AP51" s="394"/>
      <c r="AQ51" s="394"/>
      <c r="AR51" s="395"/>
      <c r="AS51" s="105"/>
      <c r="AT51" s="14"/>
      <c r="AU51" s="402"/>
      <c r="AV51" s="444" t="str">
        <f>IF(Roster!$B$12=0,"",Roster!$B$12)</f>
        <v>Durlindana</v>
      </c>
      <c r="AW51" s="394"/>
      <c r="AX51" s="394"/>
      <c r="AY51" s="394"/>
      <c r="AZ51" s="394"/>
      <c r="BA51" s="394"/>
      <c r="BB51" s="394"/>
      <c r="BC51" s="394"/>
      <c r="BD51" s="394"/>
      <c r="BE51" s="394"/>
      <c r="BF51" s="394"/>
      <c r="BG51" s="395"/>
      <c r="BH51" s="105"/>
    </row>
    <row r="52" spans="1:60" ht="11.25" customHeight="1">
      <c r="A52" s="14"/>
      <c r="B52" s="403"/>
      <c r="C52" s="442" t="str">
        <f>IF(Roster!$C$9=0,"",Roster!$C$9)</f>
        <v>Lineman</v>
      </c>
      <c r="D52" s="394"/>
      <c r="E52" s="394"/>
      <c r="F52" s="394"/>
      <c r="G52" s="394"/>
      <c r="H52" s="394"/>
      <c r="I52" s="394"/>
      <c r="J52" s="394"/>
      <c r="K52" s="394"/>
      <c r="L52" s="394"/>
      <c r="M52" s="394"/>
      <c r="N52" s="395"/>
      <c r="O52" s="106"/>
      <c r="P52" s="14"/>
      <c r="Q52" s="403"/>
      <c r="R52" s="442" t="str">
        <f>IF(Roster!$C$10=0,"",Roster!$C$10)</f>
        <v>Lineman</v>
      </c>
      <c r="S52" s="394"/>
      <c r="T52" s="394"/>
      <c r="U52" s="394"/>
      <c r="V52" s="394"/>
      <c r="W52" s="394"/>
      <c r="X52" s="394"/>
      <c r="Y52" s="394"/>
      <c r="Z52" s="394"/>
      <c r="AA52" s="394"/>
      <c r="AB52" s="394"/>
      <c r="AC52" s="395"/>
      <c r="AD52" s="106"/>
      <c r="AE52" s="14"/>
      <c r="AF52" s="403"/>
      <c r="AG52" s="442" t="str">
        <f>IF(Roster!$C$11=0,"",Roster!$C$11)</f>
        <v>Lineman</v>
      </c>
      <c r="AH52" s="394"/>
      <c r="AI52" s="394"/>
      <c r="AJ52" s="394"/>
      <c r="AK52" s="394"/>
      <c r="AL52" s="394"/>
      <c r="AM52" s="394"/>
      <c r="AN52" s="394"/>
      <c r="AO52" s="394"/>
      <c r="AP52" s="394"/>
      <c r="AQ52" s="394"/>
      <c r="AR52" s="395"/>
      <c r="AS52" s="106"/>
      <c r="AT52" s="14"/>
      <c r="AU52" s="403"/>
      <c r="AV52" s="442" t="str">
        <f>IF(Roster!$C$12=0,"",Roster!$C$12)</f>
        <v>Lineman</v>
      </c>
      <c r="AW52" s="394"/>
      <c r="AX52" s="394"/>
      <c r="AY52" s="394"/>
      <c r="AZ52" s="394"/>
      <c r="BA52" s="394"/>
      <c r="BB52" s="394"/>
      <c r="BC52" s="394"/>
      <c r="BD52" s="394"/>
      <c r="BE52" s="394"/>
      <c r="BF52" s="394"/>
      <c r="BG52" s="395"/>
      <c r="BH52" s="106"/>
    </row>
    <row r="53" spans="1:60" ht="11.25" customHeight="1">
      <c r="A53" s="14"/>
      <c r="B53" s="109" t="str">
        <f>IF(Roster!$J$1=0,"",Roster!$J$1)</f>
        <v>MA</v>
      </c>
      <c r="C53" s="457"/>
      <c r="D53" s="394"/>
      <c r="E53" s="394"/>
      <c r="F53" s="394"/>
      <c r="G53" s="394"/>
      <c r="H53" s="394"/>
      <c r="I53" s="394"/>
      <c r="J53" s="394"/>
      <c r="K53" s="394"/>
      <c r="L53" s="394"/>
      <c r="M53" s="394"/>
      <c r="N53" s="395"/>
      <c r="O53" s="105"/>
      <c r="P53" s="14"/>
      <c r="Q53" s="109" t="str">
        <f>IF(Roster!$J$1=0,"",Roster!$J$1)</f>
        <v>MA</v>
      </c>
      <c r="R53" s="457"/>
      <c r="S53" s="394"/>
      <c r="T53" s="394"/>
      <c r="U53" s="394"/>
      <c r="V53" s="394"/>
      <c r="W53" s="394"/>
      <c r="X53" s="394"/>
      <c r="Y53" s="394"/>
      <c r="Z53" s="394"/>
      <c r="AA53" s="394"/>
      <c r="AB53" s="394"/>
      <c r="AC53" s="395"/>
      <c r="AD53" s="105"/>
      <c r="AE53" s="14"/>
      <c r="AF53" s="109" t="str">
        <f>IF(Roster!$J$1=0,"",Roster!$J$1)</f>
        <v>MA</v>
      </c>
      <c r="AG53" s="457"/>
      <c r="AH53" s="394"/>
      <c r="AI53" s="394"/>
      <c r="AJ53" s="394"/>
      <c r="AK53" s="394"/>
      <c r="AL53" s="394"/>
      <c r="AM53" s="394"/>
      <c r="AN53" s="394"/>
      <c r="AO53" s="394"/>
      <c r="AP53" s="394"/>
      <c r="AQ53" s="394"/>
      <c r="AR53" s="395"/>
      <c r="AS53" s="105"/>
      <c r="AT53" s="14"/>
      <c r="AU53" s="109" t="str">
        <f>IF(Roster!$J$1=0,"",Roster!$J$1)</f>
        <v>MA</v>
      </c>
      <c r="AV53" s="457"/>
      <c r="AW53" s="394"/>
      <c r="AX53" s="394"/>
      <c r="AY53" s="394"/>
      <c r="AZ53" s="394"/>
      <c r="BA53" s="394"/>
      <c r="BB53" s="394"/>
      <c r="BC53" s="394"/>
      <c r="BD53" s="394"/>
      <c r="BE53" s="394"/>
      <c r="BF53" s="394"/>
      <c r="BG53" s="395"/>
      <c r="BH53" s="105"/>
    </row>
    <row r="54" spans="1:60" ht="37.5" customHeight="1">
      <c r="A54" s="14"/>
      <c r="B54" s="111">
        <f>IF(Roster!$J$9=0,"",Roster!$J$9)</f>
        <v>6</v>
      </c>
      <c r="C54" s="461"/>
      <c r="D54" s="458"/>
      <c r="E54" s="447"/>
      <c r="F54" s="447"/>
      <c r="G54" s="447"/>
      <c r="H54" s="447"/>
      <c r="I54" s="447"/>
      <c r="J54" s="447"/>
      <c r="K54" s="447"/>
      <c r="L54" s="447"/>
      <c r="M54" s="447"/>
      <c r="N54" s="448"/>
      <c r="O54" s="105"/>
      <c r="P54" s="14"/>
      <c r="Q54" s="111">
        <f>IF(Roster!$J$10=0,"",Roster!$J$10)</f>
        <v>6</v>
      </c>
      <c r="R54" s="461"/>
      <c r="S54" s="458"/>
      <c r="T54" s="447"/>
      <c r="U54" s="447"/>
      <c r="V54" s="447"/>
      <c r="W54" s="447"/>
      <c r="X54" s="447"/>
      <c r="Y54" s="447"/>
      <c r="Z54" s="447"/>
      <c r="AA54" s="447"/>
      <c r="AB54" s="447"/>
      <c r="AC54" s="448"/>
      <c r="AD54" s="105"/>
      <c r="AE54" s="14"/>
      <c r="AF54" s="111">
        <f>IF(Roster!$J$11=0,"",Roster!$J$11)</f>
        <v>6</v>
      </c>
      <c r="AG54" s="461"/>
      <c r="AH54" s="458"/>
      <c r="AI54" s="447"/>
      <c r="AJ54" s="447"/>
      <c r="AK54" s="447"/>
      <c r="AL54" s="447"/>
      <c r="AM54" s="447"/>
      <c r="AN54" s="447"/>
      <c r="AO54" s="447"/>
      <c r="AP54" s="447"/>
      <c r="AQ54" s="447"/>
      <c r="AR54" s="448"/>
      <c r="AS54" s="105"/>
      <c r="AT54" s="14"/>
      <c r="AU54" s="111">
        <f>IF(Roster!$J$12=0,"",Roster!$J$12)</f>
        <v>6</v>
      </c>
      <c r="AV54" s="461"/>
      <c r="AW54" s="458"/>
      <c r="AX54" s="447"/>
      <c r="AY54" s="447"/>
      <c r="AZ54" s="447"/>
      <c r="BA54" s="447"/>
      <c r="BB54" s="447"/>
      <c r="BC54" s="447"/>
      <c r="BD54" s="447"/>
      <c r="BE54" s="447"/>
      <c r="BF54" s="447"/>
      <c r="BG54" s="448"/>
      <c r="BH54" s="105"/>
    </row>
    <row r="55" spans="1:60" ht="11.25" customHeight="1">
      <c r="A55" s="14"/>
      <c r="B55" s="109" t="str">
        <f>IF(Roster!$K$1=0,"",Roster!$K$1)</f>
        <v>ST</v>
      </c>
      <c r="C55" s="402"/>
      <c r="D55" s="449"/>
      <c r="E55" s="356"/>
      <c r="F55" s="356"/>
      <c r="G55" s="356"/>
      <c r="H55" s="356"/>
      <c r="I55" s="356"/>
      <c r="J55" s="356"/>
      <c r="K55" s="356"/>
      <c r="L55" s="356"/>
      <c r="M55" s="356"/>
      <c r="N55" s="450"/>
      <c r="O55" s="105"/>
      <c r="P55" s="14"/>
      <c r="Q55" s="109" t="str">
        <f>IF(Roster!$K$1=0,"",Roster!$K$1)</f>
        <v>ST</v>
      </c>
      <c r="R55" s="402"/>
      <c r="S55" s="449"/>
      <c r="T55" s="356"/>
      <c r="U55" s="356"/>
      <c r="V55" s="356"/>
      <c r="W55" s="356"/>
      <c r="X55" s="356"/>
      <c r="Y55" s="356"/>
      <c r="Z55" s="356"/>
      <c r="AA55" s="356"/>
      <c r="AB55" s="356"/>
      <c r="AC55" s="450"/>
      <c r="AD55" s="105"/>
      <c r="AE55" s="14"/>
      <c r="AF55" s="109" t="str">
        <f>IF(Roster!$K$1=0,"",Roster!$K$1)</f>
        <v>ST</v>
      </c>
      <c r="AG55" s="402"/>
      <c r="AH55" s="449"/>
      <c r="AI55" s="356"/>
      <c r="AJ55" s="356"/>
      <c r="AK55" s="356"/>
      <c r="AL55" s="356"/>
      <c r="AM55" s="356"/>
      <c r="AN55" s="356"/>
      <c r="AO55" s="356"/>
      <c r="AP55" s="356"/>
      <c r="AQ55" s="356"/>
      <c r="AR55" s="450"/>
      <c r="AS55" s="105"/>
      <c r="AT55" s="14"/>
      <c r="AU55" s="109" t="str">
        <f>IF(Roster!$K$1=0,"",Roster!$K$1)</f>
        <v>ST</v>
      </c>
      <c r="AV55" s="402"/>
      <c r="AW55" s="449"/>
      <c r="AX55" s="356"/>
      <c r="AY55" s="356"/>
      <c r="AZ55" s="356"/>
      <c r="BA55" s="356"/>
      <c r="BB55" s="356"/>
      <c r="BC55" s="356"/>
      <c r="BD55" s="356"/>
      <c r="BE55" s="356"/>
      <c r="BF55" s="356"/>
      <c r="BG55" s="450"/>
      <c r="BH55" s="105"/>
    </row>
    <row r="56" spans="1:60" ht="37.5" customHeight="1">
      <c r="A56" s="14"/>
      <c r="B56" s="111">
        <f>IF(Roster!$K$9=0,"",Roster!$K$9)</f>
        <v>3</v>
      </c>
      <c r="C56" s="402"/>
      <c r="D56" s="449"/>
      <c r="E56" s="356"/>
      <c r="F56" s="356"/>
      <c r="G56" s="356"/>
      <c r="H56" s="356"/>
      <c r="I56" s="356"/>
      <c r="J56" s="356"/>
      <c r="K56" s="356"/>
      <c r="L56" s="356"/>
      <c r="M56" s="356"/>
      <c r="N56" s="450"/>
      <c r="O56" s="105"/>
      <c r="P56" s="14"/>
      <c r="Q56" s="111">
        <f>IF(Roster!$K$10=0,"",Roster!$K$10)</f>
        <v>3</v>
      </c>
      <c r="R56" s="402"/>
      <c r="S56" s="449"/>
      <c r="T56" s="356"/>
      <c r="U56" s="356"/>
      <c r="V56" s="356"/>
      <c r="W56" s="356"/>
      <c r="X56" s="356"/>
      <c r="Y56" s="356"/>
      <c r="Z56" s="356"/>
      <c r="AA56" s="356"/>
      <c r="AB56" s="356"/>
      <c r="AC56" s="450"/>
      <c r="AD56" s="105"/>
      <c r="AE56" s="14"/>
      <c r="AF56" s="111">
        <f>IF(Roster!$K$11=0,"",Roster!$K$11)</f>
        <v>3</v>
      </c>
      <c r="AG56" s="402"/>
      <c r="AH56" s="449"/>
      <c r="AI56" s="356"/>
      <c r="AJ56" s="356"/>
      <c r="AK56" s="356"/>
      <c r="AL56" s="356"/>
      <c r="AM56" s="356"/>
      <c r="AN56" s="356"/>
      <c r="AO56" s="356"/>
      <c r="AP56" s="356"/>
      <c r="AQ56" s="356"/>
      <c r="AR56" s="450"/>
      <c r="AS56" s="105"/>
      <c r="AT56" s="14"/>
      <c r="AU56" s="111">
        <f>IF(Roster!$K$12=0,"",Roster!$K$12)</f>
        <v>3</v>
      </c>
      <c r="AV56" s="402"/>
      <c r="AW56" s="449"/>
      <c r="AX56" s="356"/>
      <c r="AY56" s="356"/>
      <c r="AZ56" s="356"/>
      <c r="BA56" s="356"/>
      <c r="BB56" s="356"/>
      <c r="BC56" s="356"/>
      <c r="BD56" s="356"/>
      <c r="BE56" s="356"/>
      <c r="BF56" s="356"/>
      <c r="BG56" s="450"/>
      <c r="BH56" s="105"/>
    </row>
    <row r="57" spans="1:60" ht="11.25" customHeight="1">
      <c r="A57" s="14"/>
      <c r="B57" s="109" t="str">
        <f>IF(Roster!$L$1=0,"",Roster!$L$1)</f>
        <v>AG</v>
      </c>
      <c r="C57" s="402"/>
      <c r="D57" s="449"/>
      <c r="E57" s="356"/>
      <c r="F57" s="356"/>
      <c r="G57" s="356"/>
      <c r="H57" s="356"/>
      <c r="I57" s="356"/>
      <c r="J57" s="356"/>
      <c r="K57" s="356"/>
      <c r="L57" s="356"/>
      <c r="M57" s="356"/>
      <c r="N57" s="450"/>
      <c r="O57" s="105"/>
      <c r="P57" s="14"/>
      <c r="Q57" s="109" t="str">
        <f>IF(Roster!$L$1=0,"",Roster!$L$1)</f>
        <v>AG</v>
      </c>
      <c r="R57" s="402"/>
      <c r="S57" s="449"/>
      <c r="T57" s="356"/>
      <c r="U57" s="356"/>
      <c r="V57" s="356"/>
      <c r="W57" s="356"/>
      <c r="X57" s="356"/>
      <c r="Y57" s="356"/>
      <c r="Z57" s="356"/>
      <c r="AA57" s="356"/>
      <c r="AB57" s="356"/>
      <c r="AC57" s="450"/>
      <c r="AD57" s="105"/>
      <c r="AE57" s="14"/>
      <c r="AF57" s="109" t="str">
        <f>IF(Roster!$L$1=0,"",Roster!$L$1)</f>
        <v>AG</v>
      </c>
      <c r="AG57" s="402"/>
      <c r="AH57" s="449"/>
      <c r="AI57" s="356"/>
      <c r="AJ57" s="356"/>
      <c r="AK57" s="356"/>
      <c r="AL57" s="356"/>
      <c r="AM57" s="356"/>
      <c r="AN57" s="356"/>
      <c r="AO57" s="356"/>
      <c r="AP57" s="356"/>
      <c r="AQ57" s="356"/>
      <c r="AR57" s="450"/>
      <c r="AS57" s="105"/>
      <c r="AT57" s="14"/>
      <c r="AU57" s="109" t="str">
        <f>IF(Roster!$L$1=0,"",Roster!$L$1)</f>
        <v>AG</v>
      </c>
      <c r="AV57" s="402"/>
      <c r="AW57" s="449"/>
      <c r="AX57" s="356"/>
      <c r="AY57" s="356"/>
      <c r="AZ57" s="356"/>
      <c r="BA57" s="356"/>
      <c r="BB57" s="356"/>
      <c r="BC57" s="356"/>
      <c r="BD57" s="356"/>
      <c r="BE57" s="356"/>
      <c r="BF57" s="356"/>
      <c r="BG57" s="450"/>
      <c r="BH57" s="105"/>
    </row>
    <row r="58" spans="1:60" ht="37.5" customHeight="1">
      <c r="A58" s="14"/>
      <c r="B58" s="111" t="str">
        <f>IF(Roster!$L$9=0&amp;"+","",Roster!$L$9)</f>
        <v>2+</v>
      </c>
      <c r="C58" s="402"/>
      <c r="D58" s="449"/>
      <c r="E58" s="356"/>
      <c r="F58" s="356"/>
      <c r="G58" s="356"/>
      <c r="H58" s="356"/>
      <c r="I58" s="356"/>
      <c r="J58" s="356"/>
      <c r="K58" s="356"/>
      <c r="L58" s="356"/>
      <c r="M58" s="356"/>
      <c r="N58" s="450"/>
      <c r="O58" s="105"/>
      <c r="P58" s="14"/>
      <c r="Q58" s="111" t="str">
        <f>IF(Roster!$L$10=0&amp;"+","",Roster!$L$10)</f>
        <v>2+</v>
      </c>
      <c r="R58" s="402"/>
      <c r="S58" s="449"/>
      <c r="T58" s="356"/>
      <c r="U58" s="356"/>
      <c r="V58" s="356"/>
      <c r="W58" s="356"/>
      <c r="X58" s="356"/>
      <c r="Y58" s="356"/>
      <c r="Z58" s="356"/>
      <c r="AA58" s="356"/>
      <c r="AB58" s="356"/>
      <c r="AC58" s="450"/>
      <c r="AD58" s="105"/>
      <c r="AE58" s="14"/>
      <c r="AF58" s="111" t="str">
        <f>IF(Roster!$L$11=0&amp;"+","",Roster!$L$11)</f>
        <v>2+</v>
      </c>
      <c r="AG58" s="402"/>
      <c r="AH58" s="449"/>
      <c r="AI58" s="356"/>
      <c r="AJ58" s="356"/>
      <c r="AK58" s="356"/>
      <c r="AL58" s="356"/>
      <c r="AM58" s="356"/>
      <c r="AN58" s="356"/>
      <c r="AO58" s="356"/>
      <c r="AP58" s="356"/>
      <c r="AQ58" s="356"/>
      <c r="AR58" s="450"/>
      <c r="AS58" s="105"/>
      <c r="AT58" s="14"/>
      <c r="AU58" s="111" t="str">
        <f>IF(Roster!$L$12=0&amp;"+","",Roster!$L$12)</f>
        <v>2+</v>
      </c>
      <c r="AV58" s="402"/>
      <c r="AW58" s="449"/>
      <c r="AX58" s="356"/>
      <c r="AY58" s="356"/>
      <c r="AZ58" s="356"/>
      <c r="BA58" s="356"/>
      <c r="BB58" s="356"/>
      <c r="BC58" s="356"/>
      <c r="BD58" s="356"/>
      <c r="BE58" s="356"/>
      <c r="BF58" s="356"/>
      <c r="BG58" s="450"/>
      <c r="BH58" s="105"/>
    </row>
    <row r="59" spans="1:60" ht="11.25" customHeight="1">
      <c r="A59" s="14"/>
      <c r="B59" s="109" t="str">
        <f>IF(Roster!$M$1=0,"",Roster!$M$1)</f>
        <v>PA</v>
      </c>
      <c r="C59" s="402"/>
      <c r="D59" s="449"/>
      <c r="E59" s="356"/>
      <c r="F59" s="356"/>
      <c r="G59" s="356"/>
      <c r="H59" s="356"/>
      <c r="I59" s="356"/>
      <c r="J59" s="356"/>
      <c r="K59" s="356"/>
      <c r="L59" s="356"/>
      <c r="M59" s="356"/>
      <c r="N59" s="450"/>
      <c r="O59" s="114"/>
      <c r="P59" s="14"/>
      <c r="Q59" s="109" t="str">
        <f>IF(Roster!$M$1=0,"",Roster!$M$1)</f>
        <v>PA</v>
      </c>
      <c r="R59" s="402"/>
      <c r="S59" s="449"/>
      <c r="T59" s="356"/>
      <c r="U59" s="356"/>
      <c r="V59" s="356"/>
      <c r="W59" s="356"/>
      <c r="X59" s="356"/>
      <c r="Y59" s="356"/>
      <c r="Z59" s="356"/>
      <c r="AA59" s="356"/>
      <c r="AB59" s="356"/>
      <c r="AC59" s="450"/>
      <c r="AD59" s="114"/>
      <c r="AE59" s="14"/>
      <c r="AF59" s="109" t="str">
        <f>IF(Roster!$M$1=0,"",Roster!$M$1)</f>
        <v>PA</v>
      </c>
      <c r="AG59" s="402"/>
      <c r="AH59" s="449"/>
      <c r="AI59" s="356"/>
      <c r="AJ59" s="356"/>
      <c r="AK59" s="356"/>
      <c r="AL59" s="356"/>
      <c r="AM59" s="356"/>
      <c r="AN59" s="356"/>
      <c r="AO59" s="356"/>
      <c r="AP59" s="356"/>
      <c r="AQ59" s="356"/>
      <c r="AR59" s="450"/>
      <c r="AS59" s="114"/>
      <c r="AT59" s="14"/>
      <c r="AU59" s="109" t="str">
        <f>IF(Roster!$M$1=0,"",Roster!$M$1)</f>
        <v>PA</v>
      </c>
      <c r="AV59" s="402"/>
      <c r="AW59" s="449"/>
      <c r="AX59" s="356"/>
      <c r="AY59" s="356"/>
      <c r="AZ59" s="356"/>
      <c r="BA59" s="356"/>
      <c r="BB59" s="356"/>
      <c r="BC59" s="356"/>
      <c r="BD59" s="356"/>
      <c r="BE59" s="356"/>
      <c r="BF59" s="356"/>
      <c r="BG59" s="450"/>
      <c r="BH59" s="114"/>
    </row>
    <row r="60" spans="1:60" ht="6" customHeight="1">
      <c r="A60" s="14"/>
      <c r="B60" s="456" t="str">
        <f>IF(Roster!$M$9=0&amp;"+","",Roster!$M$9)</f>
        <v>4+</v>
      </c>
      <c r="C60" s="402"/>
      <c r="D60" s="451"/>
      <c r="E60" s="452"/>
      <c r="F60" s="452"/>
      <c r="G60" s="452"/>
      <c r="H60" s="452"/>
      <c r="I60" s="452"/>
      <c r="J60" s="452"/>
      <c r="K60" s="452"/>
      <c r="L60" s="452"/>
      <c r="M60" s="452"/>
      <c r="N60" s="453"/>
      <c r="O60" s="116"/>
      <c r="P60" s="14"/>
      <c r="Q60" s="456" t="str">
        <f>IF(Roster!$M$10=0&amp;"+","",Roster!$M$10)</f>
        <v>4+</v>
      </c>
      <c r="R60" s="402"/>
      <c r="S60" s="451"/>
      <c r="T60" s="452"/>
      <c r="U60" s="452"/>
      <c r="V60" s="452"/>
      <c r="W60" s="452"/>
      <c r="X60" s="452"/>
      <c r="Y60" s="452"/>
      <c r="Z60" s="452"/>
      <c r="AA60" s="452"/>
      <c r="AB60" s="452"/>
      <c r="AC60" s="453"/>
      <c r="AD60" s="116"/>
      <c r="AE60" s="14"/>
      <c r="AF60" s="456" t="str">
        <f>IF(Roster!$M$11=0&amp;"+","",Roster!$M$11)</f>
        <v>4+</v>
      </c>
      <c r="AG60" s="402"/>
      <c r="AH60" s="451"/>
      <c r="AI60" s="452"/>
      <c r="AJ60" s="452"/>
      <c r="AK60" s="452"/>
      <c r="AL60" s="452"/>
      <c r="AM60" s="452"/>
      <c r="AN60" s="452"/>
      <c r="AO60" s="452"/>
      <c r="AP60" s="452"/>
      <c r="AQ60" s="452"/>
      <c r="AR60" s="453"/>
      <c r="AS60" s="116"/>
      <c r="AT60" s="14"/>
      <c r="AU60" s="456" t="str">
        <f>IF(Roster!$M$12=0&amp;"+","",Roster!$M$12)</f>
        <v>4+</v>
      </c>
      <c r="AV60" s="402"/>
      <c r="AW60" s="451"/>
      <c r="AX60" s="452"/>
      <c r="AY60" s="452"/>
      <c r="AZ60" s="452"/>
      <c r="BA60" s="452"/>
      <c r="BB60" s="452"/>
      <c r="BC60" s="452"/>
      <c r="BD60" s="452"/>
      <c r="BE60" s="452"/>
      <c r="BF60" s="452"/>
      <c r="BG60" s="453"/>
      <c r="BH60" s="116"/>
    </row>
    <row r="61" spans="1:60" ht="4.5" customHeight="1">
      <c r="A61" s="14"/>
      <c r="B61" s="402"/>
      <c r="C61" s="402"/>
      <c r="D61" s="117"/>
      <c r="E61" s="118"/>
      <c r="F61" s="117"/>
      <c r="G61" s="118"/>
      <c r="H61" s="117"/>
      <c r="I61" s="118"/>
      <c r="J61" s="117"/>
      <c r="K61" s="118"/>
      <c r="L61" s="117"/>
      <c r="M61" s="118"/>
      <c r="N61" s="117"/>
      <c r="O61" s="116"/>
      <c r="P61" s="14"/>
      <c r="Q61" s="402"/>
      <c r="R61" s="402"/>
      <c r="S61" s="117"/>
      <c r="T61" s="118"/>
      <c r="U61" s="117"/>
      <c r="V61" s="118"/>
      <c r="W61" s="117"/>
      <c r="X61" s="118"/>
      <c r="Y61" s="117"/>
      <c r="Z61" s="118"/>
      <c r="AA61" s="117"/>
      <c r="AB61" s="118"/>
      <c r="AC61" s="117"/>
      <c r="AD61" s="116"/>
      <c r="AE61" s="14"/>
      <c r="AF61" s="402"/>
      <c r="AG61" s="402"/>
      <c r="AH61" s="117"/>
      <c r="AI61" s="118"/>
      <c r="AJ61" s="117"/>
      <c r="AK61" s="118"/>
      <c r="AL61" s="117"/>
      <c r="AM61" s="118"/>
      <c r="AN61" s="117"/>
      <c r="AO61" s="118"/>
      <c r="AP61" s="117"/>
      <c r="AQ61" s="118"/>
      <c r="AR61" s="117"/>
      <c r="AS61" s="116"/>
      <c r="AT61" s="14"/>
      <c r="AU61" s="402"/>
      <c r="AV61" s="402"/>
      <c r="AW61" s="117"/>
      <c r="AX61" s="118"/>
      <c r="AY61" s="117"/>
      <c r="AZ61" s="118"/>
      <c r="BA61" s="117"/>
      <c r="BB61" s="118"/>
      <c r="BC61" s="117"/>
      <c r="BD61" s="118"/>
      <c r="BE61" s="117"/>
      <c r="BF61" s="118"/>
      <c r="BG61" s="117"/>
      <c r="BH61" s="116"/>
    </row>
    <row r="62" spans="1:60" ht="11.25" customHeight="1">
      <c r="A62" s="14"/>
      <c r="B62" s="402"/>
      <c r="C62" s="402"/>
      <c r="D62" s="460" t="str">
        <f>IF(Roster!$J$24="Italiano","ABILITÀ &amp; TRATTI",(IF(Roster!$J$24="Español","HABILIDADES Y RASGOS","SKILLS &amp; TRAITS")))</f>
        <v>SKILLS &amp; TRAITS</v>
      </c>
      <c r="E62" s="394"/>
      <c r="F62" s="394"/>
      <c r="G62" s="394"/>
      <c r="H62" s="394"/>
      <c r="I62" s="394"/>
      <c r="J62" s="394"/>
      <c r="K62" s="394"/>
      <c r="L62" s="394"/>
      <c r="M62" s="394"/>
      <c r="N62" s="395"/>
      <c r="O62" s="116"/>
      <c r="P62" s="14"/>
      <c r="Q62" s="402"/>
      <c r="R62" s="402"/>
      <c r="S62" s="460" t="str">
        <f>IF(Roster!$J$24="Italiano","ABILITÀ &amp; TRATTI",(IF(Roster!$J$24="Español","HABILIDADES Y RASGOS","SKILLS &amp; TRAITS")))</f>
        <v>SKILLS &amp; TRAITS</v>
      </c>
      <c r="T62" s="394"/>
      <c r="U62" s="394"/>
      <c r="V62" s="394"/>
      <c r="W62" s="394"/>
      <c r="X62" s="394"/>
      <c r="Y62" s="394"/>
      <c r="Z62" s="394"/>
      <c r="AA62" s="394"/>
      <c r="AB62" s="394"/>
      <c r="AC62" s="395"/>
      <c r="AD62" s="116"/>
      <c r="AE62" s="14"/>
      <c r="AF62" s="402"/>
      <c r="AG62" s="402"/>
      <c r="AH62" s="460" t="str">
        <f>IF(Roster!$J$24="Italiano","ABILITÀ &amp; TRATTI",(IF(Roster!$J$24="Español","HABILIDADES Y RASGOS","SKILLS &amp; TRAITS")))</f>
        <v>SKILLS &amp; TRAITS</v>
      </c>
      <c r="AI62" s="394"/>
      <c r="AJ62" s="394"/>
      <c r="AK62" s="394"/>
      <c r="AL62" s="394"/>
      <c r="AM62" s="394"/>
      <c r="AN62" s="394"/>
      <c r="AO62" s="394"/>
      <c r="AP62" s="394"/>
      <c r="AQ62" s="394"/>
      <c r="AR62" s="395"/>
      <c r="AS62" s="116"/>
      <c r="AT62" s="14"/>
      <c r="AU62" s="402"/>
      <c r="AV62" s="402"/>
      <c r="AW62" s="460" t="str">
        <f>IF(Roster!$J$24="Italiano","ABILITÀ &amp; TRATTI",(IF(Roster!$J$24="Español","HABILIDADES Y RASGOS","SKILLS &amp; TRAITS")))</f>
        <v>SKILLS &amp; TRAITS</v>
      </c>
      <c r="AX62" s="394"/>
      <c r="AY62" s="394"/>
      <c r="AZ62" s="394"/>
      <c r="BA62" s="394"/>
      <c r="BB62" s="394"/>
      <c r="BC62" s="394"/>
      <c r="BD62" s="394"/>
      <c r="BE62" s="394"/>
      <c r="BF62" s="394"/>
      <c r="BG62" s="395"/>
      <c r="BH62" s="116"/>
    </row>
    <row r="63" spans="1:60" ht="15" customHeight="1">
      <c r="A63" s="14"/>
      <c r="B63" s="402"/>
      <c r="C63" s="402"/>
      <c r="D63" s="459" t="str">
        <f>IF(Roster!$O$9=0,"",Roster!$O$9&amp;Roster!BF9)</f>
        <v>Dodge</v>
      </c>
      <c r="E63" s="447"/>
      <c r="F63" s="447"/>
      <c r="G63" s="447"/>
      <c r="H63" s="447"/>
      <c r="I63" s="447"/>
      <c r="J63" s="447"/>
      <c r="K63" s="447"/>
      <c r="L63" s="447"/>
      <c r="M63" s="447"/>
      <c r="N63" s="448"/>
      <c r="O63" s="116"/>
      <c r="P63" s="14"/>
      <c r="Q63" s="402"/>
      <c r="R63" s="402"/>
      <c r="S63" s="459" t="str">
        <f>IF(Roster!$O$10=0,"",Roster!$O$10&amp;Roster!BF10)</f>
        <v>Dodge</v>
      </c>
      <c r="T63" s="447"/>
      <c r="U63" s="447"/>
      <c r="V63" s="447"/>
      <c r="W63" s="447"/>
      <c r="X63" s="447"/>
      <c r="Y63" s="447"/>
      <c r="Z63" s="447"/>
      <c r="AA63" s="447"/>
      <c r="AB63" s="447"/>
      <c r="AC63" s="448"/>
      <c r="AD63" s="116"/>
      <c r="AE63" s="14"/>
      <c r="AF63" s="402"/>
      <c r="AG63" s="402"/>
      <c r="AH63" s="459" t="str">
        <f>IF(Roster!$O$11=0,"",Roster!$O$11&amp;Roster!BF11)</f>
        <v>Dodge</v>
      </c>
      <c r="AI63" s="447"/>
      <c r="AJ63" s="447"/>
      <c r="AK63" s="447"/>
      <c r="AL63" s="447"/>
      <c r="AM63" s="447"/>
      <c r="AN63" s="447"/>
      <c r="AO63" s="447"/>
      <c r="AP63" s="447"/>
      <c r="AQ63" s="447"/>
      <c r="AR63" s="448"/>
      <c r="AS63" s="116"/>
      <c r="AT63" s="14"/>
      <c r="AU63" s="402"/>
      <c r="AV63" s="402"/>
      <c r="AW63" s="459" t="str">
        <f>IF(Roster!$O$12=0,"",Roster!$O$12&amp;Roster!BF12)</f>
        <v/>
      </c>
      <c r="AX63" s="447"/>
      <c r="AY63" s="447"/>
      <c r="AZ63" s="447"/>
      <c r="BA63" s="447"/>
      <c r="BB63" s="447"/>
      <c r="BC63" s="447"/>
      <c r="BD63" s="447"/>
      <c r="BE63" s="447"/>
      <c r="BF63" s="447"/>
      <c r="BG63" s="448"/>
      <c r="BH63" s="116"/>
    </row>
    <row r="64" spans="1:60" ht="4.5" customHeight="1">
      <c r="A64" s="14"/>
      <c r="B64" s="403"/>
      <c r="C64" s="402"/>
      <c r="D64" s="449"/>
      <c r="E64" s="356"/>
      <c r="F64" s="356"/>
      <c r="G64" s="356"/>
      <c r="H64" s="356"/>
      <c r="I64" s="356"/>
      <c r="J64" s="356"/>
      <c r="K64" s="356"/>
      <c r="L64" s="356"/>
      <c r="M64" s="356"/>
      <c r="N64" s="450"/>
      <c r="O64" s="116"/>
      <c r="P64" s="14"/>
      <c r="Q64" s="403"/>
      <c r="R64" s="402"/>
      <c r="S64" s="449"/>
      <c r="T64" s="356"/>
      <c r="U64" s="356"/>
      <c r="V64" s="356"/>
      <c r="W64" s="356"/>
      <c r="X64" s="356"/>
      <c r="Y64" s="356"/>
      <c r="Z64" s="356"/>
      <c r="AA64" s="356"/>
      <c r="AB64" s="356"/>
      <c r="AC64" s="450"/>
      <c r="AD64" s="116"/>
      <c r="AE64" s="14"/>
      <c r="AF64" s="403"/>
      <c r="AG64" s="402"/>
      <c r="AH64" s="449"/>
      <c r="AI64" s="356"/>
      <c r="AJ64" s="356"/>
      <c r="AK64" s="356"/>
      <c r="AL64" s="356"/>
      <c r="AM64" s="356"/>
      <c r="AN64" s="356"/>
      <c r="AO64" s="356"/>
      <c r="AP64" s="356"/>
      <c r="AQ64" s="356"/>
      <c r="AR64" s="450"/>
      <c r="AS64" s="116"/>
      <c r="AT64" s="14"/>
      <c r="AU64" s="403"/>
      <c r="AV64" s="402"/>
      <c r="AW64" s="449"/>
      <c r="AX64" s="356"/>
      <c r="AY64" s="356"/>
      <c r="AZ64" s="356"/>
      <c r="BA64" s="356"/>
      <c r="BB64" s="356"/>
      <c r="BC64" s="356"/>
      <c r="BD64" s="356"/>
      <c r="BE64" s="356"/>
      <c r="BF64" s="356"/>
      <c r="BG64" s="450"/>
      <c r="BH64" s="116"/>
    </row>
    <row r="65" spans="1:60" ht="11.25" customHeight="1">
      <c r="A65" s="14"/>
      <c r="B65" s="109" t="str">
        <f>IF(Roster!$N$1=0,"",Roster!$N$1)</f>
        <v>AV</v>
      </c>
      <c r="C65" s="402"/>
      <c r="D65" s="449"/>
      <c r="E65" s="356"/>
      <c r="F65" s="356"/>
      <c r="G65" s="356"/>
      <c r="H65" s="356"/>
      <c r="I65" s="356"/>
      <c r="J65" s="356"/>
      <c r="K65" s="356"/>
      <c r="L65" s="356"/>
      <c r="M65" s="356"/>
      <c r="N65" s="450"/>
      <c r="O65" s="105"/>
      <c r="P65" s="14"/>
      <c r="Q65" s="109" t="str">
        <f>IF(Roster!$N$1=0,"",Roster!$N$1)</f>
        <v>AV</v>
      </c>
      <c r="R65" s="402"/>
      <c r="S65" s="449"/>
      <c r="T65" s="356"/>
      <c r="U65" s="356"/>
      <c r="V65" s="356"/>
      <c r="W65" s="356"/>
      <c r="X65" s="356"/>
      <c r="Y65" s="356"/>
      <c r="Z65" s="356"/>
      <c r="AA65" s="356"/>
      <c r="AB65" s="356"/>
      <c r="AC65" s="450"/>
      <c r="AD65" s="105"/>
      <c r="AE65" s="14"/>
      <c r="AF65" s="109" t="str">
        <f>IF(Roster!$N$1=0,"",Roster!$N$1)</f>
        <v>AV</v>
      </c>
      <c r="AG65" s="402"/>
      <c r="AH65" s="449"/>
      <c r="AI65" s="356"/>
      <c r="AJ65" s="356"/>
      <c r="AK65" s="356"/>
      <c r="AL65" s="356"/>
      <c r="AM65" s="356"/>
      <c r="AN65" s="356"/>
      <c r="AO65" s="356"/>
      <c r="AP65" s="356"/>
      <c r="AQ65" s="356"/>
      <c r="AR65" s="450"/>
      <c r="AS65" s="105"/>
      <c r="AT65" s="14"/>
      <c r="AU65" s="109" t="str">
        <f>IF(Roster!$N$1=0,"",Roster!$N$1)</f>
        <v>AV</v>
      </c>
      <c r="AV65" s="402"/>
      <c r="AW65" s="449"/>
      <c r="AX65" s="356"/>
      <c r="AY65" s="356"/>
      <c r="AZ65" s="356"/>
      <c r="BA65" s="356"/>
      <c r="BB65" s="356"/>
      <c r="BC65" s="356"/>
      <c r="BD65" s="356"/>
      <c r="BE65" s="356"/>
      <c r="BF65" s="356"/>
      <c r="BG65" s="450"/>
      <c r="BH65" s="105"/>
    </row>
    <row r="66" spans="1:60" ht="15" customHeight="1">
      <c r="A66" s="14"/>
      <c r="B66" s="456" t="str">
        <f>IF(Roster!$N$9=0&amp;"+","",Roster!$N$9)</f>
        <v>9+</v>
      </c>
      <c r="C66" s="402"/>
      <c r="D66" s="449"/>
      <c r="E66" s="356"/>
      <c r="F66" s="356"/>
      <c r="G66" s="356"/>
      <c r="H66" s="356"/>
      <c r="I66" s="356"/>
      <c r="J66" s="356"/>
      <c r="K66" s="356"/>
      <c r="L66" s="356"/>
      <c r="M66" s="356"/>
      <c r="N66" s="450"/>
      <c r="O66" s="119"/>
      <c r="P66" s="14"/>
      <c r="Q66" s="456" t="str">
        <f>IF(Roster!$N$10=0&amp;"+","",Roster!$N$10)</f>
        <v>9+</v>
      </c>
      <c r="R66" s="402"/>
      <c r="S66" s="449"/>
      <c r="T66" s="356"/>
      <c r="U66" s="356"/>
      <c r="V66" s="356"/>
      <c r="W66" s="356"/>
      <c r="X66" s="356"/>
      <c r="Y66" s="356"/>
      <c r="Z66" s="356"/>
      <c r="AA66" s="356"/>
      <c r="AB66" s="356"/>
      <c r="AC66" s="450"/>
      <c r="AD66" s="119"/>
      <c r="AE66" s="14"/>
      <c r="AF66" s="456" t="str">
        <f>IF(Roster!$N$11=0&amp;"+","",Roster!$N$11)</f>
        <v>9+</v>
      </c>
      <c r="AG66" s="402"/>
      <c r="AH66" s="449"/>
      <c r="AI66" s="356"/>
      <c r="AJ66" s="356"/>
      <c r="AK66" s="356"/>
      <c r="AL66" s="356"/>
      <c r="AM66" s="356"/>
      <c r="AN66" s="356"/>
      <c r="AO66" s="356"/>
      <c r="AP66" s="356"/>
      <c r="AQ66" s="356"/>
      <c r="AR66" s="450"/>
      <c r="AS66" s="119"/>
      <c r="AT66" s="14"/>
      <c r="AU66" s="456" t="str">
        <f>IF(Roster!$N$12=0&amp;"+","",Roster!$N$12)</f>
        <v>9+</v>
      </c>
      <c r="AV66" s="402"/>
      <c r="AW66" s="449"/>
      <c r="AX66" s="356"/>
      <c r="AY66" s="356"/>
      <c r="AZ66" s="356"/>
      <c r="BA66" s="356"/>
      <c r="BB66" s="356"/>
      <c r="BC66" s="356"/>
      <c r="BD66" s="356"/>
      <c r="BE66" s="356"/>
      <c r="BF66" s="356"/>
      <c r="BG66" s="450"/>
      <c r="BH66" s="119"/>
    </row>
    <row r="67" spans="1:60" ht="4.5" customHeight="1">
      <c r="A67" s="14"/>
      <c r="B67" s="402"/>
      <c r="C67" s="402"/>
      <c r="D67" s="449"/>
      <c r="E67" s="356"/>
      <c r="F67" s="356"/>
      <c r="G67" s="356"/>
      <c r="H67" s="356"/>
      <c r="I67" s="356"/>
      <c r="J67" s="356"/>
      <c r="K67" s="356"/>
      <c r="L67" s="356"/>
      <c r="M67" s="356"/>
      <c r="N67" s="450"/>
      <c r="O67" s="119"/>
      <c r="P67" s="14"/>
      <c r="Q67" s="402"/>
      <c r="R67" s="402"/>
      <c r="S67" s="449"/>
      <c r="T67" s="356"/>
      <c r="U67" s="356"/>
      <c r="V67" s="356"/>
      <c r="W67" s="356"/>
      <c r="X67" s="356"/>
      <c r="Y67" s="356"/>
      <c r="Z67" s="356"/>
      <c r="AA67" s="356"/>
      <c r="AB67" s="356"/>
      <c r="AC67" s="450"/>
      <c r="AD67" s="119"/>
      <c r="AE67" s="14"/>
      <c r="AF67" s="402"/>
      <c r="AG67" s="402"/>
      <c r="AH67" s="449"/>
      <c r="AI67" s="356"/>
      <c r="AJ67" s="356"/>
      <c r="AK67" s="356"/>
      <c r="AL67" s="356"/>
      <c r="AM67" s="356"/>
      <c r="AN67" s="356"/>
      <c r="AO67" s="356"/>
      <c r="AP67" s="356"/>
      <c r="AQ67" s="356"/>
      <c r="AR67" s="450"/>
      <c r="AS67" s="119"/>
      <c r="AT67" s="14"/>
      <c r="AU67" s="402"/>
      <c r="AV67" s="402"/>
      <c r="AW67" s="449"/>
      <c r="AX67" s="356"/>
      <c r="AY67" s="356"/>
      <c r="AZ67" s="356"/>
      <c r="BA67" s="356"/>
      <c r="BB67" s="356"/>
      <c r="BC67" s="356"/>
      <c r="BD67" s="356"/>
      <c r="BE67" s="356"/>
      <c r="BF67" s="356"/>
      <c r="BG67" s="450"/>
      <c r="BH67" s="119"/>
    </row>
    <row r="68" spans="1:60" ht="11.25" customHeight="1">
      <c r="A68" s="14"/>
      <c r="B68" s="402"/>
      <c r="C68" s="402"/>
      <c r="D68" s="449"/>
      <c r="E68" s="356"/>
      <c r="F68" s="356"/>
      <c r="G68" s="356"/>
      <c r="H68" s="356"/>
      <c r="I68" s="356"/>
      <c r="J68" s="356"/>
      <c r="K68" s="356"/>
      <c r="L68" s="356"/>
      <c r="M68" s="356"/>
      <c r="N68" s="450"/>
      <c r="O68" s="119"/>
      <c r="P68" s="14"/>
      <c r="Q68" s="402"/>
      <c r="R68" s="402"/>
      <c r="S68" s="449"/>
      <c r="T68" s="356"/>
      <c r="U68" s="356"/>
      <c r="V68" s="356"/>
      <c r="W68" s="356"/>
      <c r="X68" s="356"/>
      <c r="Y68" s="356"/>
      <c r="Z68" s="356"/>
      <c r="AA68" s="356"/>
      <c r="AB68" s="356"/>
      <c r="AC68" s="450"/>
      <c r="AD68" s="119"/>
      <c r="AE68" s="14"/>
      <c r="AF68" s="402"/>
      <c r="AG68" s="402"/>
      <c r="AH68" s="449"/>
      <c r="AI68" s="356"/>
      <c r="AJ68" s="356"/>
      <c r="AK68" s="356"/>
      <c r="AL68" s="356"/>
      <c r="AM68" s="356"/>
      <c r="AN68" s="356"/>
      <c r="AO68" s="356"/>
      <c r="AP68" s="356"/>
      <c r="AQ68" s="356"/>
      <c r="AR68" s="450"/>
      <c r="AS68" s="119"/>
      <c r="AT68" s="14"/>
      <c r="AU68" s="402"/>
      <c r="AV68" s="402"/>
      <c r="AW68" s="449"/>
      <c r="AX68" s="356"/>
      <c r="AY68" s="356"/>
      <c r="AZ68" s="356"/>
      <c r="BA68" s="356"/>
      <c r="BB68" s="356"/>
      <c r="BC68" s="356"/>
      <c r="BD68" s="356"/>
      <c r="BE68" s="356"/>
      <c r="BF68" s="356"/>
      <c r="BG68" s="450"/>
      <c r="BH68" s="119"/>
    </row>
    <row r="69" spans="1:60" ht="6.75" customHeight="1">
      <c r="A69" s="14"/>
      <c r="B69" s="403"/>
      <c r="C69" s="402"/>
      <c r="D69" s="449"/>
      <c r="E69" s="356"/>
      <c r="F69" s="356"/>
      <c r="G69" s="356"/>
      <c r="H69" s="356"/>
      <c r="I69" s="356"/>
      <c r="J69" s="356"/>
      <c r="K69" s="356"/>
      <c r="L69" s="356"/>
      <c r="M69" s="356"/>
      <c r="N69" s="450"/>
      <c r="O69" s="119"/>
      <c r="P69" s="14"/>
      <c r="Q69" s="403"/>
      <c r="R69" s="402"/>
      <c r="S69" s="449"/>
      <c r="T69" s="356"/>
      <c r="U69" s="356"/>
      <c r="V69" s="356"/>
      <c r="W69" s="356"/>
      <c r="X69" s="356"/>
      <c r="Y69" s="356"/>
      <c r="Z69" s="356"/>
      <c r="AA69" s="356"/>
      <c r="AB69" s="356"/>
      <c r="AC69" s="450"/>
      <c r="AD69" s="119"/>
      <c r="AE69" s="14"/>
      <c r="AF69" s="403"/>
      <c r="AG69" s="402"/>
      <c r="AH69" s="449"/>
      <c r="AI69" s="356"/>
      <c r="AJ69" s="356"/>
      <c r="AK69" s="356"/>
      <c r="AL69" s="356"/>
      <c r="AM69" s="356"/>
      <c r="AN69" s="356"/>
      <c r="AO69" s="356"/>
      <c r="AP69" s="356"/>
      <c r="AQ69" s="356"/>
      <c r="AR69" s="450"/>
      <c r="AS69" s="119"/>
      <c r="AT69" s="14"/>
      <c r="AU69" s="403"/>
      <c r="AV69" s="402"/>
      <c r="AW69" s="449"/>
      <c r="AX69" s="356"/>
      <c r="AY69" s="356"/>
      <c r="AZ69" s="356"/>
      <c r="BA69" s="356"/>
      <c r="BB69" s="356"/>
      <c r="BC69" s="356"/>
      <c r="BD69" s="356"/>
      <c r="BE69" s="356"/>
      <c r="BF69" s="356"/>
      <c r="BG69" s="450"/>
      <c r="BH69" s="119"/>
    </row>
    <row r="70" spans="1:60" ht="11.25" customHeight="1">
      <c r="A70" s="14"/>
      <c r="B70" s="109" t="str">
        <f>IF(Roster!$AN$1=0,"",Roster!$AN$1)</f>
        <v>COST</v>
      </c>
      <c r="C70" s="402"/>
      <c r="D70" s="449"/>
      <c r="E70" s="356"/>
      <c r="F70" s="356"/>
      <c r="G70" s="356"/>
      <c r="H70" s="356"/>
      <c r="I70" s="356"/>
      <c r="J70" s="356"/>
      <c r="K70" s="356"/>
      <c r="L70" s="356"/>
      <c r="M70" s="356"/>
      <c r="N70" s="450"/>
      <c r="O70" s="120"/>
      <c r="P70" s="14"/>
      <c r="Q70" s="109" t="str">
        <f>IF(Roster!$AN$1=0,"",Roster!$AN$1)</f>
        <v>COST</v>
      </c>
      <c r="R70" s="402"/>
      <c r="S70" s="449"/>
      <c r="T70" s="356"/>
      <c r="U70" s="356"/>
      <c r="V70" s="356"/>
      <c r="W70" s="356"/>
      <c r="X70" s="356"/>
      <c r="Y70" s="356"/>
      <c r="Z70" s="356"/>
      <c r="AA70" s="356"/>
      <c r="AB70" s="356"/>
      <c r="AC70" s="450"/>
      <c r="AD70" s="120"/>
      <c r="AE70" s="14"/>
      <c r="AF70" s="109" t="str">
        <f>IF(Roster!$AN$1=0,"",Roster!$AN$1)</f>
        <v>COST</v>
      </c>
      <c r="AG70" s="402"/>
      <c r="AH70" s="449"/>
      <c r="AI70" s="356"/>
      <c r="AJ70" s="356"/>
      <c r="AK70" s="356"/>
      <c r="AL70" s="356"/>
      <c r="AM70" s="356"/>
      <c r="AN70" s="356"/>
      <c r="AO70" s="356"/>
      <c r="AP70" s="356"/>
      <c r="AQ70" s="356"/>
      <c r="AR70" s="450"/>
      <c r="AS70" s="120"/>
      <c r="AT70" s="14"/>
      <c r="AU70" s="109" t="str">
        <f>IF(Roster!$AN$1=0,"",Roster!$AN$1)</f>
        <v>COST</v>
      </c>
      <c r="AV70" s="402"/>
      <c r="AW70" s="449"/>
      <c r="AX70" s="356"/>
      <c r="AY70" s="356"/>
      <c r="AZ70" s="356"/>
      <c r="BA70" s="356"/>
      <c r="BB70" s="356"/>
      <c r="BC70" s="356"/>
      <c r="BD70" s="356"/>
      <c r="BE70" s="356"/>
      <c r="BF70" s="356"/>
      <c r="BG70" s="450"/>
      <c r="BH70" s="120"/>
    </row>
    <row r="71" spans="1:60" ht="34.5" customHeight="1">
      <c r="A71" s="14"/>
      <c r="B71" s="122">
        <f>IF(Roster!$AN$9=0,"",Roster!$AN$9)</f>
        <v>70000</v>
      </c>
      <c r="C71" s="403"/>
      <c r="D71" s="451"/>
      <c r="E71" s="452"/>
      <c r="F71" s="452"/>
      <c r="G71" s="452"/>
      <c r="H71" s="452"/>
      <c r="I71" s="452"/>
      <c r="J71" s="452"/>
      <c r="K71" s="452"/>
      <c r="L71" s="452"/>
      <c r="M71" s="452"/>
      <c r="N71" s="453"/>
      <c r="O71" s="120"/>
      <c r="P71" s="14"/>
      <c r="Q71" s="122">
        <f>IF(Roster!$AN$10=0,"",Roster!$AN$10)</f>
        <v>70000</v>
      </c>
      <c r="R71" s="403"/>
      <c r="S71" s="451"/>
      <c r="T71" s="452"/>
      <c r="U71" s="452"/>
      <c r="V71" s="452"/>
      <c r="W71" s="452"/>
      <c r="X71" s="452"/>
      <c r="Y71" s="452"/>
      <c r="Z71" s="452"/>
      <c r="AA71" s="452"/>
      <c r="AB71" s="452"/>
      <c r="AC71" s="453"/>
      <c r="AD71" s="120"/>
      <c r="AE71" s="14"/>
      <c r="AF71" s="122">
        <f>IF(Roster!$AN$11=0,"",Roster!$AN$11)</f>
        <v>70000</v>
      </c>
      <c r="AG71" s="403"/>
      <c r="AH71" s="451"/>
      <c r="AI71" s="452"/>
      <c r="AJ71" s="452"/>
      <c r="AK71" s="452"/>
      <c r="AL71" s="452"/>
      <c r="AM71" s="452"/>
      <c r="AN71" s="452"/>
      <c r="AO71" s="452"/>
      <c r="AP71" s="452"/>
      <c r="AQ71" s="452"/>
      <c r="AR71" s="453"/>
      <c r="AS71" s="120"/>
      <c r="AT71" s="14"/>
      <c r="AU71" s="122">
        <f>IF(Roster!$AN$12=0,"",Roster!$AN$12)</f>
        <v>70000</v>
      </c>
      <c r="AV71" s="403"/>
      <c r="AW71" s="451"/>
      <c r="AX71" s="452"/>
      <c r="AY71" s="452"/>
      <c r="AZ71" s="452"/>
      <c r="BA71" s="452"/>
      <c r="BB71" s="452"/>
      <c r="BC71" s="452"/>
      <c r="BD71" s="452"/>
      <c r="BE71" s="452"/>
      <c r="BF71" s="452"/>
      <c r="BG71" s="453"/>
      <c r="BH71" s="120"/>
    </row>
    <row r="72" spans="1:60" ht="4.5" customHeight="1">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c r="A74" s="14"/>
      <c r="B74" s="454" t="str">
        <f>IF(Roster!$A$13=0,"","#"&amp;Roster!$A$13)</f>
        <v>#12</v>
      </c>
      <c r="C74" s="105"/>
      <c r="D74" s="105"/>
      <c r="E74" s="105"/>
      <c r="F74" s="105"/>
      <c r="G74" s="105"/>
      <c r="H74" s="105"/>
      <c r="I74" s="105"/>
      <c r="J74" s="105"/>
      <c r="K74" s="105"/>
      <c r="L74" s="105"/>
      <c r="M74" s="105"/>
      <c r="N74" s="105"/>
      <c r="O74" s="105"/>
      <c r="P74" s="14"/>
      <c r="Q74" s="454" t="str">
        <f>IF(Roster!$A$14=0,"","#"&amp;Roster!$A$14)</f>
        <v>#13</v>
      </c>
      <c r="R74" s="105"/>
      <c r="S74" s="105"/>
      <c r="T74" s="105"/>
      <c r="U74" s="105"/>
      <c r="V74" s="105"/>
      <c r="W74" s="105"/>
      <c r="X74" s="105"/>
      <c r="Y74" s="105"/>
      <c r="Z74" s="105"/>
      <c r="AA74" s="105"/>
      <c r="AB74" s="105"/>
      <c r="AC74" s="105"/>
      <c r="AD74" s="105"/>
      <c r="AE74" s="14"/>
      <c r="AF74" s="454" t="str">
        <f>IF(Roster!$A$15=0,"","#"&amp;Roster!$A$15)</f>
        <v>#14</v>
      </c>
      <c r="AG74" s="105"/>
      <c r="AH74" s="105"/>
      <c r="AI74" s="105"/>
      <c r="AJ74" s="105"/>
      <c r="AK74" s="105"/>
      <c r="AL74" s="105"/>
      <c r="AM74" s="105"/>
      <c r="AN74" s="105"/>
      <c r="AO74" s="105"/>
      <c r="AP74" s="105"/>
      <c r="AQ74" s="105"/>
      <c r="AR74" s="105"/>
      <c r="AS74" s="105"/>
      <c r="AT74" s="14"/>
      <c r="AU74" s="454" t="str">
        <f>IF(Roster!$A$16=0,"","#"&amp;Roster!$A$16)</f>
        <v>#15</v>
      </c>
      <c r="AV74" s="105"/>
      <c r="AW74" s="105"/>
      <c r="AX74" s="105"/>
      <c r="AY74" s="105"/>
      <c r="AZ74" s="105"/>
      <c r="BA74" s="105"/>
      <c r="BB74" s="105"/>
      <c r="BC74" s="105"/>
      <c r="BD74" s="105"/>
      <c r="BE74" s="105"/>
      <c r="BF74" s="105"/>
      <c r="BG74" s="105"/>
      <c r="BH74" s="105"/>
    </row>
    <row r="75" spans="1:60" ht="15" customHeight="1">
      <c r="A75" s="14"/>
      <c r="B75" s="402"/>
      <c r="C75" s="444" t="str">
        <f>IF(Roster!$B$13=0,"",Roster!$B$13)</f>
        <v>Tizona</v>
      </c>
      <c r="D75" s="394"/>
      <c r="E75" s="394"/>
      <c r="F75" s="394"/>
      <c r="G75" s="394"/>
      <c r="H75" s="394"/>
      <c r="I75" s="394"/>
      <c r="J75" s="394"/>
      <c r="K75" s="394"/>
      <c r="L75" s="394"/>
      <c r="M75" s="394"/>
      <c r="N75" s="395"/>
      <c r="O75" s="105"/>
      <c r="P75" s="14"/>
      <c r="Q75" s="402"/>
      <c r="R75" s="444" t="str">
        <f>IF(Roster!$B$14=0,"",Roster!$B$14)</f>
        <v>Dhu L-Fiquar</v>
      </c>
      <c r="S75" s="394"/>
      <c r="T75" s="394"/>
      <c r="U75" s="394"/>
      <c r="V75" s="394"/>
      <c r="W75" s="394"/>
      <c r="X75" s="394"/>
      <c r="Y75" s="394"/>
      <c r="Z75" s="394"/>
      <c r="AA75" s="394"/>
      <c r="AB75" s="394"/>
      <c r="AC75" s="395"/>
      <c r="AD75" s="105"/>
      <c r="AE75" s="14"/>
      <c r="AF75" s="402"/>
      <c r="AG75" s="444" t="str">
        <f>IF(Roster!$B$15=0,"",Roster!$B$15)</f>
        <v>Anduril</v>
      </c>
      <c r="AH75" s="394"/>
      <c r="AI75" s="394"/>
      <c r="AJ75" s="394"/>
      <c r="AK75" s="394"/>
      <c r="AL75" s="394"/>
      <c r="AM75" s="394"/>
      <c r="AN75" s="394"/>
      <c r="AO75" s="394"/>
      <c r="AP75" s="394"/>
      <c r="AQ75" s="394"/>
      <c r="AR75" s="395"/>
      <c r="AS75" s="105"/>
      <c r="AT75" s="14"/>
      <c r="AU75" s="402"/>
      <c r="AV75" s="444" t="str">
        <f>IF(Roster!$B$16=0,"",Roster!$B$16)</f>
        <v>Glamdring</v>
      </c>
      <c r="AW75" s="394"/>
      <c r="AX75" s="394"/>
      <c r="AY75" s="394"/>
      <c r="AZ75" s="394"/>
      <c r="BA75" s="394"/>
      <c r="BB75" s="394"/>
      <c r="BC75" s="394"/>
      <c r="BD75" s="394"/>
      <c r="BE75" s="394"/>
      <c r="BF75" s="394"/>
      <c r="BG75" s="395"/>
      <c r="BH75" s="105"/>
    </row>
    <row r="76" spans="1:60" ht="11.25" customHeight="1">
      <c r="A76" s="14"/>
      <c r="B76" s="403"/>
      <c r="C76" s="442" t="str">
        <f>IF(Roster!$C$13=0,"",Roster!$C$13)</f>
        <v>Lineman</v>
      </c>
      <c r="D76" s="394"/>
      <c r="E76" s="394"/>
      <c r="F76" s="394"/>
      <c r="G76" s="394"/>
      <c r="H76" s="394"/>
      <c r="I76" s="394"/>
      <c r="J76" s="394"/>
      <c r="K76" s="394"/>
      <c r="L76" s="394"/>
      <c r="M76" s="394"/>
      <c r="N76" s="395"/>
      <c r="O76" s="106"/>
      <c r="P76" s="14"/>
      <c r="Q76" s="403"/>
      <c r="R76" s="442" t="str">
        <f>IF(Roster!$C$14=0,"",Roster!$C$14)</f>
        <v>Lineman</v>
      </c>
      <c r="S76" s="394"/>
      <c r="T76" s="394"/>
      <c r="U76" s="394"/>
      <c r="V76" s="394"/>
      <c r="W76" s="394"/>
      <c r="X76" s="394"/>
      <c r="Y76" s="394"/>
      <c r="Z76" s="394"/>
      <c r="AA76" s="394"/>
      <c r="AB76" s="394"/>
      <c r="AC76" s="395"/>
      <c r="AD76" s="106"/>
      <c r="AE76" s="14"/>
      <c r="AF76" s="403"/>
      <c r="AG76" s="442" t="str">
        <f>IF(Roster!$C$15=0,"",Roster!$C$15)</f>
        <v>Lineman</v>
      </c>
      <c r="AH76" s="394"/>
      <c r="AI76" s="394"/>
      <c r="AJ76" s="394"/>
      <c r="AK76" s="394"/>
      <c r="AL76" s="394"/>
      <c r="AM76" s="394"/>
      <c r="AN76" s="394"/>
      <c r="AO76" s="394"/>
      <c r="AP76" s="394"/>
      <c r="AQ76" s="394"/>
      <c r="AR76" s="395"/>
      <c r="AS76" s="106"/>
      <c r="AT76" s="14"/>
      <c r="AU76" s="403"/>
      <c r="AV76" s="442" t="str">
        <f>IF(Roster!$C$16=0,"",Roster!$C$16)</f>
        <v>Lineman</v>
      </c>
      <c r="AW76" s="394"/>
      <c r="AX76" s="394"/>
      <c r="AY76" s="394"/>
      <c r="AZ76" s="394"/>
      <c r="BA76" s="394"/>
      <c r="BB76" s="394"/>
      <c r="BC76" s="394"/>
      <c r="BD76" s="394"/>
      <c r="BE76" s="394"/>
      <c r="BF76" s="394"/>
      <c r="BG76" s="395"/>
      <c r="BH76" s="106"/>
    </row>
    <row r="77" spans="1:60" ht="11.25" customHeight="1">
      <c r="A77" s="14"/>
      <c r="B77" s="109" t="str">
        <f>IF(Roster!$J$1=0,"",Roster!$J$1)</f>
        <v>MA</v>
      </c>
      <c r="C77" s="457"/>
      <c r="D77" s="394"/>
      <c r="E77" s="394"/>
      <c r="F77" s="394"/>
      <c r="G77" s="394"/>
      <c r="H77" s="394"/>
      <c r="I77" s="394"/>
      <c r="J77" s="394"/>
      <c r="K77" s="394"/>
      <c r="L77" s="394"/>
      <c r="M77" s="394"/>
      <c r="N77" s="395"/>
      <c r="O77" s="105"/>
      <c r="P77" s="14"/>
      <c r="Q77" s="109" t="str">
        <f>IF(Roster!$J$1=0,"",Roster!$J$1)</f>
        <v>MA</v>
      </c>
      <c r="R77" s="457"/>
      <c r="S77" s="394"/>
      <c r="T77" s="394"/>
      <c r="U77" s="394"/>
      <c r="V77" s="394"/>
      <c r="W77" s="394"/>
      <c r="X77" s="394"/>
      <c r="Y77" s="394"/>
      <c r="Z77" s="394"/>
      <c r="AA77" s="394"/>
      <c r="AB77" s="394"/>
      <c r="AC77" s="395"/>
      <c r="AD77" s="105"/>
      <c r="AE77" s="14"/>
      <c r="AF77" s="109" t="str">
        <f>IF(Roster!$J$1=0,"",Roster!$J$1)</f>
        <v>MA</v>
      </c>
      <c r="AG77" s="457"/>
      <c r="AH77" s="394"/>
      <c r="AI77" s="394"/>
      <c r="AJ77" s="394"/>
      <c r="AK77" s="394"/>
      <c r="AL77" s="394"/>
      <c r="AM77" s="394"/>
      <c r="AN77" s="394"/>
      <c r="AO77" s="394"/>
      <c r="AP77" s="394"/>
      <c r="AQ77" s="394"/>
      <c r="AR77" s="395"/>
      <c r="AS77" s="105"/>
      <c r="AT77" s="14"/>
      <c r="AU77" s="109" t="str">
        <f>IF(Roster!$J$1=0,"",Roster!$J$1)</f>
        <v>MA</v>
      </c>
      <c r="AV77" s="457"/>
      <c r="AW77" s="394"/>
      <c r="AX77" s="394"/>
      <c r="AY77" s="394"/>
      <c r="AZ77" s="394"/>
      <c r="BA77" s="394"/>
      <c r="BB77" s="394"/>
      <c r="BC77" s="394"/>
      <c r="BD77" s="394"/>
      <c r="BE77" s="394"/>
      <c r="BF77" s="394"/>
      <c r="BG77" s="395"/>
      <c r="BH77" s="105"/>
    </row>
    <row r="78" spans="1:60" ht="37.5" customHeight="1">
      <c r="A78" s="14"/>
      <c r="B78" s="111">
        <f>IF(Roster!$J$13=0,"",Roster!$J$13)</f>
        <v>6</v>
      </c>
      <c r="C78" s="461"/>
      <c r="D78" s="458"/>
      <c r="E78" s="447"/>
      <c r="F78" s="447"/>
      <c r="G78" s="447"/>
      <c r="H78" s="447"/>
      <c r="I78" s="447"/>
      <c r="J78" s="447"/>
      <c r="K78" s="447"/>
      <c r="L78" s="447"/>
      <c r="M78" s="447"/>
      <c r="N78" s="448"/>
      <c r="O78" s="105"/>
      <c r="P78" s="14"/>
      <c r="Q78" s="111">
        <f>IF(Roster!$J$14=0,"",Roster!$J$14)</f>
        <v>6</v>
      </c>
      <c r="R78" s="461"/>
      <c r="S78" s="458"/>
      <c r="T78" s="447"/>
      <c r="U78" s="447"/>
      <c r="V78" s="447"/>
      <c r="W78" s="447"/>
      <c r="X78" s="447"/>
      <c r="Y78" s="447"/>
      <c r="Z78" s="447"/>
      <c r="AA78" s="447"/>
      <c r="AB78" s="447"/>
      <c r="AC78" s="448"/>
      <c r="AD78" s="105"/>
      <c r="AE78" s="14"/>
      <c r="AF78" s="111">
        <f>IF(Roster!$J$15=0,"",Roster!$J$15)</f>
        <v>6</v>
      </c>
      <c r="AG78" s="461"/>
      <c r="AH78" s="458"/>
      <c r="AI78" s="447"/>
      <c r="AJ78" s="447"/>
      <c r="AK78" s="447"/>
      <c r="AL78" s="447"/>
      <c r="AM78" s="447"/>
      <c r="AN78" s="447"/>
      <c r="AO78" s="447"/>
      <c r="AP78" s="447"/>
      <c r="AQ78" s="447"/>
      <c r="AR78" s="448"/>
      <c r="AS78" s="105"/>
      <c r="AT78" s="14"/>
      <c r="AU78" s="111">
        <f>IF(Roster!$J$16=0,"",Roster!$J$16)</f>
        <v>6</v>
      </c>
      <c r="AV78" s="461"/>
      <c r="AW78" s="458"/>
      <c r="AX78" s="447"/>
      <c r="AY78" s="447"/>
      <c r="AZ78" s="447"/>
      <c r="BA78" s="447"/>
      <c r="BB78" s="447"/>
      <c r="BC78" s="447"/>
      <c r="BD78" s="447"/>
      <c r="BE78" s="447"/>
      <c r="BF78" s="447"/>
      <c r="BG78" s="448"/>
      <c r="BH78" s="105"/>
    </row>
    <row r="79" spans="1:60" ht="11.25" customHeight="1">
      <c r="A79" s="14"/>
      <c r="B79" s="109" t="str">
        <f>IF(Roster!$K$1=0,"",Roster!$K$1)</f>
        <v>ST</v>
      </c>
      <c r="C79" s="402"/>
      <c r="D79" s="449"/>
      <c r="E79" s="356"/>
      <c r="F79" s="356"/>
      <c r="G79" s="356"/>
      <c r="H79" s="356"/>
      <c r="I79" s="356"/>
      <c r="J79" s="356"/>
      <c r="K79" s="356"/>
      <c r="L79" s="356"/>
      <c r="M79" s="356"/>
      <c r="N79" s="450"/>
      <c r="O79" s="105"/>
      <c r="P79" s="14"/>
      <c r="Q79" s="109" t="str">
        <f>IF(Roster!$K$1=0,"",Roster!$K$1)</f>
        <v>ST</v>
      </c>
      <c r="R79" s="402"/>
      <c r="S79" s="449"/>
      <c r="T79" s="356"/>
      <c r="U79" s="356"/>
      <c r="V79" s="356"/>
      <c r="W79" s="356"/>
      <c r="X79" s="356"/>
      <c r="Y79" s="356"/>
      <c r="Z79" s="356"/>
      <c r="AA79" s="356"/>
      <c r="AB79" s="356"/>
      <c r="AC79" s="450"/>
      <c r="AD79" s="105"/>
      <c r="AE79" s="14"/>
      <c r="AF79" s="109" t="str">
        <f>IF(Roster!$K$1=0,"",Roster!$K$1)</f>
        <v>ST</v>
      </c>
      <c r="AG79" s="402"/>
      <c r="AH79" s="449"/>
      <c r="AI79" s="356"/>
      <c r="AJ79" s="356"/>
      <c r="AK79" s="356"/>
      <c r="AL79" s="356"/>
      <c r="AM79" s="356"/>
      <c r="AN79" s="356"/>
      <c r="AO79" s="356"/>
      <c r="AP79" s="356"/>
      <c r="AQ79" s="356"/>
      <c r="AR79" s="450"/>
      <c r="AS79" s="105"/>
      <c r="AT79" s="14"/>
      <c r="AU79" s="109" t="str">
        <f>IF(Roster!$K$1=0,"",Roster!$K$1)</f>
        <v>ST</v>
      </c>
      <c r="AV79" s="402"/>
      <c r="AW79" s="449"/>
      <c r="AX79" s="356"/>
      <c r="AY79" s="356"/>
      <c r="AZ79" s="356"/>
      <c r="BA79" s="356"/>
      <c r="BB79" s="356"/>
      <c r="BC79" s="356"/>
      <c r="BD79" s="356"/>
      <c r="BE79" s="356"/>
      <c r="BF79" s="356"/>
      <c r="BG79" s="450"/>
      <c r="BH79" s="105"/>
    </row>
    <row r="80" spans="1:60" ht="37.5" customHeight="1">
      <c r="A80" s="14"/>
      <c r="B80" s="111">
        <f>IF(Roster!$K$13=0,"",Roster!$K$13)</f>
        <v>3</v>
      </c>
      <c r="C80" s="402"/>
      <c r="D80" s="449"/>
      <c r="E80" s="356"/>
      <c r="F80" s="356"/>
      <c r="G80" s="356"/>
      <c r="H80" s="356"/>
      <c r="I80" s="356"/>
      <c r="J80" s="356"/>
      <c r="K80" s="356"/>
      <c r="L80" s="356"/>
      <c r="M80" s="356"/>
      <c r="N80" s="450"/>
      <c r="O80" s="105"/>
      <c r="P80" s="14"/>
      <c r="Q80" s="111">
        <f>IF(Roster!$K$14=0,"",Roster!$K$14)</f>
        <v>3</v>
      </c>
      <c r="R80" s="402"/>
      <c r="S80" s="449"/>
      <c r="T80" s="356"/>
      <c r="U80" s="356"/>
      <c r="V80" s="356"/>
      <c r="W80" s="356"/>
      <c r="X80" s="356"/>
      <c r="Y80" s="356"/>
      <c r="Z80" s="356"/>
      <c r="AA80" s="356"/>
      <c r="AB80" s="356"/>
      <c r="AC80" s="450"/>
      <c r="AD80" s="105"/>
      <c r="AE80" s="14"/>
      <c r="AF80" s="111">
        <f>IF(Roster!$K$15=0,"",Roster!$K$15)</f>
        <v>3</v>
      </c>
      <c r="AG80" s="402"/>
      <c r="AH80" s="449"/>
      <c r="AI80" s="356"/>
      <c r="AJ80" s="356"/>
      <c r="AK80" s="356"/>
      <c r="AL80" s="356"/>
      <c r="AM80" s="356"/>
      <c r="AN80" s="356"/>
      <c r="AO80" s="356"/>
      <c r="AP80" s="356"/>
      <c r="AQ80" s="356"/>
      <c r="AR80" s="450"/>
      <c r="AS80" s="105"/>
      <c r="AT80" s="14"/>
      <c r="AU80" s="111">
        <f>IF(Roster!$K$16=0,"",Roster!$K$16)</f>
        <v>3</v>
      </c>
      <c r="AV80" s="402"/>
      <c r="AW80" s="449"/>
      <c r="AX80" s="356"/>
      <c r="AY80" s="356"/>
      <c r="AZ80" s="356"/>
      <c r="BA80" s="356"/>
      <c r="BB80" s="356"/>
      <c r="BC80" s="356"/>
      <c r="BD80" s="356"/>
      <c r="BE80" s="356"/>
      <c r="BF80" s="356"/>
      <c r="BG80" s="450"/>
      <c r="BH80" s="105"/>
    </row>
    <row r="81" spans="1:60" ht="11.25" customHeight="1">
      <c r="A81" s="14"/>
      <c r="B81" s="109" t="str">
        <f>IF(Roster!$L$1=0,"",Roster!$L$1)</f>
        <v>AG</v>
      </c>
      <c r="C81" s="402"/>
      <c r="D81" s="449"/>
      <c r="E81" s="356"/>
      <c r="F81" s="356"/>
      <c r="G81" s="356"/>
      <c r="H81" s="356"/>
      <c r="I81" s="356"/>
      <c r="J81" s="356"/>
      <c r="K81" s="356"/>
      <c r="L81" s="356"/>
      <c r="M81" s="356"/>
      <c r="N81" s="450"/>
      <c r="O81" s="105"/>
      <c r="P81" s="14"/>
      <c r="Q81" s="109" t="str">
        <f>IF(Roster!$L$1=0,"",Roster!$L$1)</f>
        <v>AG</v>
      </c>
      <c r="R81" s="402"/>
      <c r="S81" s="449"/>
      <c r="T81" s="356"/>
      <c r="U81" s="356"/>
      <c r="V81" s="356"/>
      <c r="W81" s="356"/>
      <c r="X81" s="356"/>
      <c r="Y81" s="356"/>
      <c r="Z81" s="356"/>
      <c r="AA81" s="356"/>
      <c r="AB81" s="356"/>
      <c r="AC81" s="450"/>
      <c r="AD81" s="105"/>
      <c r="AE81" s="14"/>
      <c r="AF81" s="109" t="str">
        <f>IF(Roster!$L$1=0,"",Roster!$L$1)</f>
        <v>AG</v>
      </c>
      <c r="AG81" s="402"/>
      <c r="AH81" s="449"/>
      <c r="AI81" s="356"/>
      <c r="AJ81" s="356"/>
      <c r="AK81" s="356"/>
      <c r="AL81" s="356"/>
      <c r="AM81" s="356"/>
      <c r="AN81" s="356"/>
      <c r="AO81" s="356"/>
      <c r="AP81" s="356"/>
      <c r="AQ81" s="356"/>
      <c r="AR81" s="450"/>
      <c r="AS81" s="105"/>
      <c r="AT81" s="14"/>
      <c r="AU81" s="109" t="str">
        <f>IF(Roster!$L$1=0,"",Roster!$L$1)</f>
        <v>AG</v>
      </c>
      <c r="AV81" s="402"/>
      <c r="AW81" s="449"/>
      <c r="AX81" s="356"/>
      <c r="AY81" s="356"/>
      <c r="AZ81" s="356"/>
      <c r="BA81" s="356"/>
      <c r="BB81" s="356"/>
      <c r="BC81" s="356"/>
      <c r="BD81" s="356"/>
      <c r="BE81" s="356"/>
      <c r="BF81" s="356"/>
      <c r="BG81" s="450"/>
      <c r="BH81" s="105"/>
    </row>
    <row r="82" spans="1:60" ht="37.5" customHeight="1">
      <c r="A82" s="14"/>
      <c r="B82" s="111" t="str">
        <f>IF(Roster!$L$13=0&amp;"+","",Roster!$L$13)</f>
        <v>2+</v>
      </c>
      <c r="C82" s="402"/>
      <c r="D82" s="449"/>
      <c r="E82" s="356"/>
      <c r="F82" s="356"/>
      <c r="G82" s="356"/>
      <c r="H82" s="356"/>
      <c r="I82" s="356"/>
      <c r="J82" s="356"/>
      <c r="K82" s="356"/>
      <c r="L82" s="356"/>
      <c r="M82" s="356"/>
      <c r="N82" s="450"/>
      <c r="O82" s="105"/>
      <c r="P82" s="14"/>
      <c r="Q82" s="111" t="str">
        <f>IF(Roster!$L$14=0&amp;"+","",Roster!$L$14)</f>
        <v>2+</v>
      </c>
      <c r="R82" s="402"/>
      <c r="S82" s="449"/>
      <c r="T82" s="356"/>
      <c r="U82" s="356"/>
      <c r="V82" s="356"/>
      <c r="W82" s="356"/>
      <c r="X82" s="356"/>
      <c r="Y82" s="356"/>
      <c r="Z82" s="356"/>
      <c r="AA82" s="356"/>
      <c r="AB82" s="356"/>
      <c r="AC82" s="450"/>
      <c r="AD82" s="105"/>
      <c r="AE82" s="14"/>
      <c r="AF82" s="111" t="str">
        <f>IF(Roster!$L$15=0&amp;"+","",Roster!$L$15)</f>
        <v>2+</v>
      </c>
      <c r="AG82" s="402"/>
      <c r="AH82" s="449"/>
      <c r="AI82" s="356"/>
      <c r="AJ82" s="356"/>
      <c r="AK82" s="356"/>
      <c r="AL82" s="356"/>
      <c r="AM82" s="356"/>
      <c r="AN82" s="356"/>
      <c r="AO82" s="356"/>
      <c r="AP82" s="356"/>
      <c r="AQ82" s="356"/>
      <c r="AR82" s="450"/>
      <c r="AS82" s="105"/>
      <c r="AT82" s="14"/>
      <c r="AU82" s="111" t="str">
        <f>IF(Roster!$L$16=0&amp;"+","",Roster!$L$16)</f>
        <v>2+</v>
      </c>
      <c r="AV82" s="402"/>
      <c r="AW82" s="449"/>
      <c r="AX82" s="356"/>
      <c r="AY82" s="356"/>
      <c r="AZ82" s="356"/>
      <c r="BA82" s="356"/>
      <c r="BB82" s="356"/>
      <c r="BC82" s="356"/>
      <c r="BD82" s="356"/>
      <c r="BE82" s="356"/>
      <c r="BF82" s="356"/>
      <c r="BG82" s="450"/>
      <c r="BH82" s="105"/>
    </row>
    <row r="83" spans="1:60" ht="11.25" customHeight="1">
      <c r="A83" s="14"/>
      <c r="B83" s="109" t="str">
        <f>IF(Roster!$M$1=0,"",Roster!$M$1)</f>
        <v>PA</v>
      </c>
      <c r="C83" s="402"/>
      <c r="D83" s="449"/>
      <c r="E83" s="356"/>
      <c r="F83" s="356"/>
      <c r="G83" s="356"/>
      <c r="H83" s="356"/>
      <c r="I83" s="356"/>
      <c r="J83" s="356"/>
      <c r="K83" s="356"/>
      <c r="L83" s="356"/>
      <c r="M83" s="356"/>
      <c r="N83" s="450"/>
      <c r="O83" s="114"/>
      <c r="P83" s="14"/>
      <c r="Q83" s="109" t="str">
        <f>IF(Roster!$M$1=0,"",Roster!$M$1)</f>
        <v>PA</v>
      </c>
      <c r="R83" s="402"/>
      <c r="S83" s="449"/>
      <c r="T83" s="356"/>
      <c r="U83" s="356"/>
      <c r="V83" s="356"/>
      <c r="W83" s="356"/>
      <c r="X83" s="356"/>
      <c r="Y83" s="356"/>
      <c r="Z83" s="356"/>
      <c r="AA83" s="356"/>
      <c r="AB83" s="356"/>
      <c r="AC83" s="450"/>
      <c r="AD83" s="114"/>
      <c r="AE83" s="14"/>
      <c r="AF83" s="109" t="str">
        <f>IF(Roster!$M$1=0,"",Roster!$M$1)</f>
        <v>PA</v>
      </c>
      <c r="AG83" s="402"/>
      <c r="AH83" s="449"/>
      <c r="AI83" s="356"/>
      <c r="AJ83" s="356"/>
      <c r="AK83" s="356"/>
      <c r="AL83" s="356"/>
      <c r="AM83" s="356"/>
      <c r="AN83" s="356"/>
      <c r="AO83" s="356"/>
      <c r="AP83" s="356"/>
      <c r="AQ83" s="356"/>
      <c r="AR83" s="450"/>
      <c r="AS83" s="114"/>
      <c r="AT83" s="14"/>
      <c r="AU83" s="109" t="str">
        <f>IF(Roster!$M$1=0,"",Roster!$M$1)</f>
        <v>PA</v>
      </c>
      <c r="AV83" s="402"/>
      <c r="AW83" s="449"/>
      <c r="AX83" s="356"/>
      <c r="AY83" s="356"/>
      <c r="AZ83" s="356"/>
      <c r="BA83" s="356"/>
      <c r="BB83" s="356"/>
      <c r="BC83" s="356"/>
      <c r="BD83" s="356"/>
      <c r="BE83" s="356"/>
      <c r="BF83" s="356"/>
      <c r="BG83" s="450"/>
      <c r="BH83" s="114"/>
    </row>
    <row r="84" spans="1:60" ht="6" customHeight="1">
      <c r="A84" s="14"/>
      <c r="B84" s="456" t="str">
        <f>IF(Roster!$M$13=0&amp;"+","",Roster!$M$13)</f>
        <v>4+</v>
      </c>
      <c r="C84" s="402"/>
      <c r="D84" s="451"/>
      <c r="E84" s="452"/>
      <c r="F84" s="452"/>
      <c r="G84" s="452"/>
      <c r="H84" s="452"/>
      <c r="I84" s="452"/>
      <c r="J84" s="452"/>
      <c r="K84" s="452"/>
      <c r="L84" s="452"/>
      <c r="M84" s="452"/>
      <c r="N84" s="453"/>
      <c r="O84" s="116"/>
      <c r="P84" s="14"/>
      <c r="Q84" s="456" t="str">
        <f>IF(Roster!$M$14=0&amp;"+","",Roster!$M$14)</f>
        <v>4+</v>
      </c>
      <c r="R84" s="402"/>
      <c r="S84" s="451"/>
      <c r="T84" s="452"/>
      <c r="U84" s="452"/>
      <c r="V84" s="452"/>
      <c r="W84" s="452"/>
      <c r="X84" s="452"/>
      <c r="Y84" s="452"/>
      <c r="Z84" s="452"/>
      <c r="AA84" s="452"/>
      <c r="AB84" s="452"/>
      <c r="AC84" s="453"/>
      <c r="AD84" s="116"/>
      <c r="AE84" s="14"/>
      <c r="AF84" s="456" t="str">
        <f>IF(Roster!$M$15=0&amp;"+","",Roster!$M$15)</f>
        <v>4+</v>
      </c>
      <c r="AG84" s="402"/>
      <c r="AH84" s="451"/>
      <c r="AI84" s="452"/>
      <c r="AJ84" s="452"/>
      <c r="AK84" s="452"/>
      <c r="AL84" s="452"/>
      <c r="AM84" s="452"/>
      <c r="AN84" s="452"/>
      <c r="AO84" s="452"/>
      <c r="AP84" s="452"/>
      <c r="AQ84" s="452"/>
      <c r="AR84" s="453"/>
      <c r="AS84" s="116"/>
      <c r="AT84" s="14"/>
      <c r="AU84" s="456" t="str">
        <f>IF(Roster!$M$16=0&amp;"+","",Roster!$M$16)</f>
        <v>4+</v>
      </c>
      <c r="AV84" s="402"/>
      <c r="AW84" s="451"/>
      <c r="AX84" s="452"/>
      <c r="AY84" s="452"/>
      <c r="AZ84" s="452"/>
      <c r="BA84" s="452"/>
      <c r="BB84" s="452"/>
      <c r="BC84" s="452"/>
      <c r="BD84" s="452"/>
      <c r="BE84" s="452"/>
      <c r="BF84" s="452"/>
      <c r="BG84" s="453"/>
      <c r="BH84" s="116"/>
    </row>
    <row r="85" spans="1:60" ht="4.5" customHeight="1">
      <c r="A85" s="14"/>
      <c r="B85" s="402"/>
      <c r="C85" s="402"/>
      <c r="D85" s="117"/>
      <c r="E85" s="118"/>
      <c r="F85" s="117"/>
      <c r="G85" s="118"/>
      <c r="H85" s="117"/>
      <c r="I85" s="118"/>
      <c r="J85" s="117"/>
      <c r="K85" s="118"/>
      <c r="L85" s="117"/>
      <c r="M85" s="118"/>
      <c r="N85" s="117"/>
      <c r="O85" s="116"/>
      <c r="P85" s="14"/>
      <c r="Q85" s="402"/>
      <c r="R85" s="402"/>
      <c r="S85" s="117"/>
      <c r="T85" s="118"/>
      <c r="U85" s="117"/>
      <c r="V85" s="118"/>
      <c r="W85" s="117"/>
      <c r="X85" s="118"/>
      <c r="Y85" s="117"/>
      <c r="Z85" s="118"/>
      <c r="AA85" s="117"/>
      <c r="AB85" s="118"/>
      <c r="AC85" s="117"/>
      <c r="AD85" s="116"/>
      <c r="AE85" s="14"/>
      <c r="AF85" s="402"/>
      <c r="AG85" s="402"/>
      <c r="AH85" s="117"/>
      <c r="AI85" s="118"/>
      <c r="AJ85" s="117"/>
      <c r="AK85" s="118"/>
      <c r="AL85" s="117"/>
      <c r="AM85" s="118"/>
      <c r="AN85" s="117"/>
      <c r="AO85" s="118"/>
      <c r="AP85" s="117"/>
      <c r="AQ85" s="118"/>
      <c r="AR85" s="117"/>
      <c r="AS85" s="116"/>
      <c r="AT85" s="14"/>
      <c r="AU85" s="402"/>
      <c r="AV85" s="402"/>
      <c r="AW85" s="117"/>
      <c r="AX85" s="118"/>
      <c r="AY85" s="117"/>
      <c r="AZ85" s="118"/>
      <c r="BA85" s="117"/>
      <c r="BB85" s="118"/>
      <c r="BC85" s="117"/>
      <c r="BD85" s="118"/>
      <c r="BE85" s="117"/>
      <c r="BF85" s="118"/>
      <c r="BG85" s="117"/>
      <c r="BH85" s="116"/>
    </row>
    <row r="86" spans="1:60" ht="11.25" customHeight="1">
      <c r="A86" s="14"/>
      <c r="B86" s="402"/>
      <c r="C86" s="402"/>
      <c r="D86" s="460" t="str">
        <f>IF(Roster!$J$24="Italiano","ABILITÀ &amp; TRATTI",(IF(Roster!$J$24="Español","HABILIDADES Y RASGOS","SKILLS &amp; TRAITS")))</f>
        <v>SKILLS &amp; TRAITS</v>
      </c>
      <c r="E86" s="394"/>
      <c r="F86" s="394"/>
      <c r="G86" s="394"/>
      <c r="H86" s="394"/>
      <c r="I86" s="394"/>
      <c r="J86" s="394"/>
      <c r="K86" s="394"/>
      <c r="L86" s="394"/>
      <c r="M86" s="394"/>
      <c r="N86" s="395"/>
      <c r="O86" s="116"/>
      <c r="P86" s="14"/>
      <c r="Q86" s="402"/>
      <c r="R86" s="402"/>
      <c r="S86" s="460" t="str">
        <f>IF(Roster!$J$24="Italiano","ABILITÀ &amp; TRATTI",(IF(Roster!$J$24="Español","HABILIDADES Y RASGOS","SKILLS &amp; TRAITS")))</f>
        <v>SKILLS &amp; TRAITS</v>
      </c>
      <c r="T86" s="394"/>
      <c r="U86" s="394"/>
      <c r="V86" s="394"/>
      <c r="W86" s="394"/>
      <c r="X86" s="394"/>
      <c r="Y86" s="394"/>
      <c r="Z86" s="394"/>
      <c r="AA86" s="394"/>
      <c r="AB86" s="394"/>
      <c r="AC86" s="395"/>
      <c r="AD86" s="116"/>
      <c r="AE86" s="14"/>
      <c r="AF86" s="402"/>
      <c r="AG86" s="402"/>
      <c r="AH86" s="460" t="str">
        <f>IF(Roster!$J$24="Italiano","ABILITÀ &amp; TRATTI",(IF(Roster!$J$24="Español","HABILIDADES Y RASGOS","SKILLS &amp; TRAITS")))</f>
        <v>SKILLS &amp; TRAITS</v>
      </c>
      <c r="AI86" s="394"/>
      <c r="AJ86" s="394"/>
      <c r="AK86" s="394"/>
      <c r="AL86" s="394"/>
      <c r="AM86" s="394"/>
      <c r="AN86" s="394"/>
      <c r="AO86" s="394"/>
      <c r="AP86" s="394"/>
      <c r="AQ86" s="394"/>
      <c r="AR86" s="395"/>
      <c r="AS86" s="116"/>
      <c r="AT86" s="14"/>
      <c r="AU86" s="402"/>
      <c r="AV86" s="402"/>
      <c r="AW86" s="460" t="str">
        <f>IF(Roster!$J$24="Italiano","ABILITÀ &amp; TRATTI",(IF(Roster!$J$24="Español","HABILIDADES Y RASGOS","SKILLS &amp; TRAITS")))</f>
        <v>SKILLS &amp; TRAITS</v>
      </c>
      <c r="AX86" s="394"/>
      <c r="AY86" s="394"/>
      <c r="AZ86" s="394"/>
      <c r="BA86" s="394"/>
      <c r="BB86" s="394"/>
      <c r="BC86" s="394"/>
      <c r="BD86" s="394"/>
      <c r="BE86" s="394"/>
      <c r="BF86" s="394"/>
      <c r="BG86" s="395"/>
      <c r="BH86" s="116"/>
    </row>
    <row r="87" spans="1:60" ht="15" customHeight="1">
      <c r="A87" s="14"/>
      <c r="B87" s="402"/>
      <c r="C87" s="402"/>
      <c r="D87" s="459" t="str">
        <f>IF(Roster!$O$13=0,"",Roster!$O$13&amp;Roster!BF13)</f>
        <v/>
      </c>
      <c r="E87" s="447"/>
      <c r="F87" s="447"/>
      <c r="G87" s="447"/>
      <c r="H87" s="447"/>
      <c r="I87" s="447"/>
      <c r="J87" s="447"/>
      <c r="K87" s="447"/>
      <c r="L87" s="447"/>
      <c r="M87" s="447"/>
      <c r="N87" s="448"/>
      <c r="O87" s="116"/>
      <c r="P87" s="14"/>
      <c r="Q87" s="402"/>
      <c r="R87" s="402"/>
      <c r="S87" s="459" t="str">
        <f>IF(Roster!$O$14=0,"",Roster!$O$14&amp;Roster!BF14)</f>
        <v/>
      </c>
      <c r="T87" s="447"/>
      <c r="U87" s="447"/>
      <c r="V87" s="447"/>
      <c r="W87" s="447"/>
      <c r="X87" s="447"/>
      <c r="Y87" s="447"/>
      <c r="Z87" s="447"/>
      <c r="AA87" s="447"/>
      <c r="AB87" s="447"/>
      <c r="AC87" s="448"/>
      <c r="AD87" s="116"/>
      <c r="AE87" s="14"/>
      <c r="AF87" s="402"/>
      <c r="AG87" s="402"/>
      <c r="AH87" s="459" t="str">
        <f>IF(Roster!$O$15=0,"",Roster!$O$15&amp;Roster!BF15)</f>
        <v/>
      </c>
      <c r="AI87" s="447"/>
      <c r="AJ87" s="447"/>
      <c r="AK87" s="447"/>
      <c r="AL87" s="447"/>
      <c r="AM87" s="447"/>
      <c r="AN87" s="447"/>
      <c r="AO87" s="447"/>
      <c r="AP87" s="447"/>
      <c r="AQ87" s="447"/>
      <c r="AR87" s="448"/>
      <c r="AS87" s="116"/>
      <c r="AT87" s="14"/>
      <c r="AU87" s="402"/>
      <c r="AV87" s="402"/>
      <c r="AW87" s="459" t="str">
        <f>IF(Roster!$O$16=0,"",Roster!$O$16&amp;Roster!BF16)</f>
        <v/>
      </c>
      <c r="AX87" s="447"/>
      <c r="AY87" s="447"/>
      <c r="AZ87" s="447"/>
      <c r="BA87" s="447"/>
      <c r="BB87" s="447"/>
      <c r="BC87" s="447"/>
      <c r="BD87" s="447"/>
      <c r="BE87" s="447"/>
      <c r="BF87" s="447"/>
      <c r="BG87" s="448"/>
      <c r="BH87" s="116"/>
    </row>
    <row r="88" spans="1:60" ht="4.5" customHeight="1">
      <c r="A88" s="14"/>
      <c r="B88" s="403"/>
      <c r="C88" s="402"/>
      <c r="D88" s="449"/>
      <c r="E88" s="356"/>
      <c r="F88" s="356"/>
      <c r="G88" s="356"/>
      <c r="H88" s="356"/>
      <c r="I88" s="356"/>
      <c r="J88" s="356"/>
      <c r="K88" s="356"/>
      <c r="L88" s="356"/>
      <c r="M88" s="356"/>
      <c r="N88" s="450"/>
      <c r="O88" s="116"/>
      <c r="P88" s="14"/>
      <c r="Q88" s="403"/>
      <c r="R88" s="402"/>
      <c r="S88" s="449"/>
      <c r="T88" s="356"/>
      <c r="U88" s="356"/>
      <c r="V88" s="356"/>
      <c r="W88" s="356"/>
      <c r="X88" s="356"/>
      <c r="Y88" s="356"/>
      <c r="Z88" s="356"/>
      <c r="AA88" s="356"/>
      <c r="AB88" s="356"/>
      <c r="AC88" s="450"/>
      <c r="AD88" s="116"/>
      <c r="AE88" s="14"/>
      <c r="AF88" s="403"/>
      <c r="AG88" s="402"/>
      <c r="AH88" s="449"/>
      <c r="AI88" s="356"/>
      <c r="AJ88" s="356"/>
      <c r="AK88" s="356"/>
      <c r="AL88" s="356"/>
      <c r="AM88" s="356"/>
      <c r="AN88" s="356"/>
      <c r="AO88" s="356"/>
      <c r="AP88" s="356"/>
      <c r="AQ88" s="356"/>
      <c r="AR88" s="450"/>
      <c r="AS88" s="116"/>
      <c r="AT88" s="14"/>
      <c r="AU88" s="403"/>
      <c r="AV88" s="402"/>
      <c r="AW88" s="449"/>
      <c r="AX88" s="356"/>
      <c r="AY88" s="356"/>
      <c r="AZ88" s="356"/>
      <c r="BA88" s="356"/>
      <c r="BB88" s="356"/>
      <c r="BC88" s="356"/>
      <c r="BD88" s="356"/>
      <c r="BE88" s="356"/>
      <c r="BF88" s="356"/>
      <c r="BG88" s="450"/>
      <c r="BH88" s="116"/>
    </row>
    <row r="89" spans="1:60" ht="11.25" customHeight="1">
      <c r="A89" s="14"/>
      <c r="B89" s="109" t="str">
        <f>IF(Roster!$N$1=0,"",Roster!$N$1)</f>
        <v>AV</v>
      </c>
      <c r="C89" s="402"/>
      <c r="D89" s="449"/>
      <c r="E89" s="356"/>
      <c r="F89" s="356"/>
      <c r="G89" s="356"/>
      <c r="H89" s="356"/>
      <c r="I89" s="356"/>
      <c r="J89" s="356"/>
      <c r="K89" s="356"/>
      <c r="L89" s="356"/>
      <c r="M89" s="356"/>
      <c r="N89" s="450"/>
      <c r="O89" s="105"/>
      <c r="P89" s="14"/>
      <c r="Q89" s="109" t="str">
        <f>IF(Roster!$N$1=0,"",Roster!$N$1)</f>
        <v>AV</v>
      </c>
      <c r="R89" s="402"/>
      <c r="S89" s="449"/>
      <c r="T89" s="356"/>
      <c r="U89" s="356"/>
      <c r="V89" s="356"/>
      <c r="W89" s="356"/>
      <c r="X89" s="356"/>
      <c r="Y89" s="356"/>
      <c r="Z89" s="356"/>
      <c r="AA89" s="356"/>
      <c r="AB89" s="356"/>
      <c r="AC89" s="450"/>
      <c r="AD89" s="105"/>
      <c r="AE89" s="14"/>
      <c r="AF89" s="109" t="str">
        <f>IF(Roster!$N$1=0,"",Roster!$N$1)</f>
        <v>AV</v>
      </c>
      <c r="AG89" s="402"/>
      <c r="AH89" s="449"/>
      <c r="AI89" s="356"/>
      <c r="AJ89" s="356"/>
      <c r="AK89" s="356"/>
      <c r="AL89" s="356"/>
      <c r="AM89" s="356"/>
      <c r="AN89" s="356"/>
      <c r="AO89" s="356"/>
      <c r="AP89" s="356"/>
      <c r="AQ89" s="356"/>
      <c r="AR89" s="450"/>
      <c r="AS89" s="105"/>
      <c r="AT89" s="14"/>
      <c r="AU89" s="109" t="str">
        <f>IF(Roster!$N$1=0,"",Roster!$N$1)</f>
        <v>AV</v>
      </c>
      <c r="AV89" s="402"/>
      <c r="AW89" s="449"/>
      <c r="AX89" s="356"/>
      <c r="AY89" s="356"/>
      <c r="AZ89" s="356"/>
      <c r="BA89" s="356"/>
      <c r="BB89" s="356"/>
      <c r="BC89" s="356"/>
      <c r="BD89" s="356"/>
      <c r="BE89" s="356"/>
      <c r="BF89" s="356"/>
      <c r="BG89" s="450"/>
      <c r="BH89" s="105"/>
    </row>
    <row r="90" spans="1:60" ht="15" customHeight="1">
      <c r="A90" s="14"/>
      <c r="B90" s="456" t="str">
        <f>IF(Roster!$N$13=0&amp;"+","",Roster!$N$13)</f>
        <v>9+</v>
      </c>
      <c r="C90" s="402"/>
      <c r="D90" s="449"/>
      <c r="E90" s="356"/>
      <c r="F90" s="356"/>
      <c r="G90" s="356"/>
      <c r="H90" s="356"/>
      <c r="I90" s="356"/>
      <c r="J90" s="356"/>
      <c r="K90" s="356"/>
      <c r="L90" s="356"/>
      <c r="M90" s="356"/>
      <c r="N90" s="450"/>
      <c r="O90" s="119"/>
      <c r="P90" s="14"/>
      <c r="Q90" s="456" t="str">
        <f>IF(Roster!$N$14=0&amp;"+","",Roster!$N$14)</f>
        <v>9+</v>
      </c>
      <c r="R90" s="402"/>
      <c r="S90" s="449"/>
      <c r="T90" s="356"/>
      <c r="U90" s="356"/>
      <c r="V90" s="356"/>
      <c r="W90" s="356"/>
      <c r="X90" s="356"/>
      <c r="Y90" s="356"/>
      <c r="Z90" s="356"/>
      <c r="AA90" s="356"/>
      <c r="AB90" s="356"/>
      <c r="AC90" s="450"/>
      <c r="AD90" s="119"/>
      <c r="AE90" s="14"/>
      <c r="AF90" s="456" t="str">
        <f>IF(Roster!$N$15=0&amp;"+","",Roster!$N$15)</f>
        <v>9+</v>
      </c>
      <c r="AG90" s="402"/>
      <c r="AH90" s="449"/>
      <c r="AI90" s="356"/>
      <c r="AJ90" s="356"/>
      <c r="AK90" s="356"/>
      <c r="AL90" s="356"/>
      <c r="AM90" s="356"/>
      <c r="AN90" s="356"/>
      <c r="AO90" s="356"/>
      <c r="AP90" s="356"/>
      <c r="AQ90" s="356"/>
      <c r="AR90" s="450"/>
      <c r="AS90" s="119"/>
      <c r="AT90" s="14"/>
      <c r="AU90" s="456" t="str">
        <f>IF(Roster!$N$16=0&amp;"+","",Roster!$N$16)</f>
        <v>9+</v>
      </c>
      <c r="AV90" s="402"/>
      <c r="AW90" s="449"/>
      <c r="AX90" s="356"/>
      <c r="AY90" s="356"/>
      <c r="AZ90" s="356"/>
      <c r="BA90" s="356"/>
      <c r="BB90" s="356"/>
      <c r="BC90" s="356"/>
      <c r="BD90" s="356"/>
      <c r="BE90" s="356"/>
      <c r="BF90" s="356"/>
      <c r="BG90" s="450"/>
      <c r="BH90" s="119"/>
    </row>
    <row r="91" spans="1:60" ht="4.5" customHeight="1">
      <c r="A91" s="14"/>
      <c r="B91" s="402"/>
      <c r="C91" s="402"/>
      <c r="D91" s="449"/>
      <c r="E91" s="356"/>
      <c r="F91" s="356"/>
      <c r="G91" s="356"/>
      <c r="H91" s="356"/>
      <c r="I91" s="356"/>
      <c r="J91" s="356"/>
      <c r="K91" s="356"/>
      <c r="L91" s="356"/>
      <c r="M91" s="356"/>
      <c r="N91" s="450"/>
      <c r="O91" s="119"/>
      <c r="P91" s="14"/>
      <c r="Q91" s="402"/>
      <c r="R91" s="402"/>
      <c r="S91" s="449"/>
      <c r="T91" s="356"/>
      <c r="U91" s="356"/>
      <c r="V91" s="356"/>
      <c r="W91" s="356"/>
      <c r="X91" s="356"/>
      <c r="Y91" s="356"/>
      <c r="Z91" s="356"/>
      <c r="AA91" s="356"/>
      <c r="AB91" s="356"/>
      <c r="AC91" s="450"/>
      <c r="AD91" s="119"/>
      <c r="AE91" s="14"/>
      <c r="AF91" s="402"/>
      <c r="AG91" s="402"/>
      <c r="AH91" s="449"/>
      <c r="AI91" s="356"/>
      <c r="AJ91" s="356"/>
      <c r="AK91" s="356"/>
      <c r="AL91" s="356"/>
      <c r="AM91" s="356"/>
      <c r="AN91" s="356"/>
      <c r="AO91" s="356"/>
      <c r="AP91" s="356"/>
      <c r="AQ91" s="356"/>
      <c r="AR91" s="450"/>
      <c r="AS91" s="119"/>
      <c r="AT91" s="14"/>
      <c r="AU91" s="402"/>
      <c r="AV91" s="402"/>
      <c r="AW91" s="449"/>
      <c r="AX91" s="356"/>
      <c r="AY91" s="356"/>
      <c r="AZ91" s="356"/>
      <c r="BA91" s="356"/>
      <c r="BB91" s="356"/>
      <c r="BC91" s="356"/>
      <c r="BD91" s="356"/>
      <c r="BE91" s="356"/>
      <c r="BF91" s="356"/>
      <c r="BG91" s="450"/>
      <c r="BH91" s="119"/>
    </row>
    <row r="92" spans="1:60" ht="11.25" customHeight="1">
      <c r="A92" s="14"/>
      <c r="B92" s="402"/>
      <c r="C92" s="402"/>
      <c r="D92" s="449"/>
      <c r="E92" s="356"/>
      <c r="F92" s="356"/>
      <c r="G92" s="356"/>
      <c r="H92" s="356"/>
      <c r="I92" s="356"/>
      <c r="J92" s="356"/>
      <c r="K92" s="356"/>
      <c r="L92" s="356"/>
      <c r="M92" s="356"/>
      <c r="N92" s="450"/>
      <c r="O92" s="119"/>
      <c r="P92" s="14"/>
      <c r="Q92" s="402"/>
      <c r="R92" s="402"/>
      <c r="S92" s="449"/>
      <c r="T92" s="356"/>
      <c r="U92" s="356"/>
      <c r="V92" s="356"/>
      <c r="W92" s="356"/>
      <c r="X92" s="356"/>
      <c r="Y92" s="356"/>
      <c r="Z92" s="356"/>
      <c r="AA92" s="356"/>
      <c r="AB92" s="356"/>
      <c r="AC92" s="450"/>
      <c r="AD92" s="119"/>
      <c r="AE92" s="14"/>
      <c r="AF92" s="402"/>
      <c r="AG92" s="402"/>
      <c r="AH92" s="449"/>
      <c r="AI92" s="356"/>
      <c r="AJ92" s="356"/>
      <c r="AK92" s="356"/>
      <c r="AL92" s="356"/>
      <c r="AM92" s="356"/>
      <c r="AN92" s="356"/>
      <c r="AO92" s="356"/>
      <c r="AP92" s="356"/>
      <c r="AQ92" s="356"/>
      <c r="AR92" s="450"/>
      <c r="AS92" s="119"/>
      <c r="AT92" s="14"/>
      <c r="AU92" s="402"/>
      <c r="AV92" s="402"/>
      <c r="AW92" s="449"/>
      <c r="AX92" s="356"/>
      <c r="AY92" s="356"/>
      <c r="AZ92" s="356"/>
      <c r="BA92" s="356"/>
      <c r="BB92" s="356"/>
      <c r="BC92" s="356"/>
      <c r="BD92" s="356"/>
      <c r="BE92" s="356"/>
      <c r="BF92" s="356"/>
      <c r="BG92" s="450"/>
      <c r="BH92" s="119"/>
    </row>
    <row r="93" spans="1:60" ht="6.75" customHeight="1">
      <c r="A93" s="14"/>
      <c r="B93" s="403"/>
      <c r="C93" s="402"/>
      <c r="D93" s="449"/>
      <c r="E93" s="356"/>
      <c r="F93" s="356"/>
      <c r="G93" s="356"/>
      <c r="H93" s="356"/>
      <c r="I93" s="356"/>
      <c r="J93" s="356"/>
      <c r="K93" s="356"/>
      <c r="L93" s="356"/>
      <c r="M93" s="356"/>
      <c r="N93" s="450"/>
      <c r="O93" s="119"/>
      <c r="P93" s="14"/>
      <c r="Q93" s="403"/>
      <c r="R93" s="402"/>
      <c r="S93" s="449"/>
      <c r="T93" s="356"/>
      <c r="U93" s="356"/>
      <c r="V93" s="356"/>
      <c r="W93" s="356"/>
      <c r="X93" s="356"/>
      <c r="Y93" s="356"/>
      <c r="Z93" s="356"/>
      <c r="AA93" s="356"/>
      <c r="AB93" s="356"/>
      <c r="AC93" s="450"/>
      <c r="AD93" s="119"/>
      <c r="AE93" s="14"/>
      <c r="AF93" s="403"/>
      <c r="AG93" s="402"/>
      <c r="AH93" s="449"/>
      <c r="AI93" s="356"/>
      <c r="AJ93" s="356"/>
      <c r="AK93" s="356"/>
      <c r="AL93" s="356"/>
      <c r="AM93" s="356"/>
      <c r="AN93" s="356"/>
      <c r="AO93" s="356"/>
      <c r="AP93" s="356"/>
      <c r="AQ93" s="356"/>
      <c r="AR93" s="450"/>
      <c r="AS93" s="119"/>
      <c r="AT93" s="14"/>
      <c r="AU93" s="403"/>
      <c r="AV93" s="402"/>
      <c r="AW93" s="449"/>
      <c r="AX93" s="356"/>
      <c r="AY93" s="356"/>
      <c r="AZ93" s="356"/>
      <c r="BA93" s="356"/>
      <c r="BB93" s="356"/>
      <c r="BC93" s="356"/>
      <c r="BD93" s="356"/>
      <c r="BE93" s="356"/>
      <c r="BF93" s="356"/>
      <c r="BG93" s="450"/>
      <c r="BH93" s="119"/>
    </row>
    <row r="94" spans="1:60" ht="11.25" customHeight="1">
      <c r="A94" s="14"/>
      <c r="B94" s="109" t="str">
        <f>IF(Roster!$AN$1=0,"",Roster!$AN$1)</f>
        <v>COST</v>
      </c>
      <c r="C94" s="402"/>
      <c r="D94" s="449"/>
      <c r="E94" s="356"/>
      <c r="F94" s="356"/>
      <c r="G94" s="356"/>
      <c r="H94" s="356"/>
      <c r="I94" s="356"/>
      <c r="J94" s="356"/>
      <c r="K94" s="356"/>
      <c r="L94" s="356"/>
      <c r="M94" s="356"/>
      <c r="N94" s="450"/>
      <c r="O94" s="120"/>
      <c r="P94" s="14"/>
      <c r="Q94" s="109" t="str">
        <f>IF(Roster!$AN$1=0,"",Roster!$AN$1)</f>
        <v>COST</v>
      </c>
      <c r="R94" s="402"/>
      <c r="S94" s="449"/>
      <c r="T94" s="356"/>
      <c r="U94" s="356"/>
      <c r="V94" s="356"/>
      <c r="W94" s="356"/>
      <c r="X94" s="356"/>
      <c r="Y94" s="356"/>
      <c r="Z94" s="356"/>
      <c r="AA94" s="356"/>
      <c r="AB94" s="356"/>
      <c r="AC94" s="450"/>
      <c r="AD94" s="120"/>
      <c r="AE94" s="14"/>
      <c r="AF94" s="109" t="str">
        <f>IF(Roster!$AN$1=0,"",Roster!$AN$1)</f>
        <v>COST</v>
      </c>
      <c r="AG94" s="402"/>
      <c r="AH94" s="449"/>
      <c r="AI94" s="356"/>
      <c r="AJ94" s="356"/>
      <c r="AK94" s="356"/>
      <c r="AL94" s="356"/>
      <c r="AM94" s="356"/>
      <c r="AN94" s="356"/>
      <c r="AO94" s="356"/>
      <c r="AP94" s="356"/>
      <c r="AQ94" s="356"/>
      <c r="AR94" s="450"/>
      <c r="AS94" s="120"/>
      <c r="AT94" s="14"/>
      <c r="AU94" s="109" t="str">
        <f>IF(Roster!$AN$1=0,"",Roster!$AN$1)</f>
        <v>COST</v>
      </c>
      <c r="AV94" s="402"/>
      <c r="AW94" s="449"/>
      <c r="AX94" s="356"/>
      <c r="AY94" s="356"/>
      <c r="AZ94" s="356"/>
      <c r="BA94" s="356"/>
      <c r="BB94" s="356"/>
      <c r="BC94" s="356"/>
      <c r="BD94" s="356"/>
      <c r="BE94" s="356"/>
      <c r="BF94" s="356"/>
      <c r="BG94" s="450"/>
      <c r="BH94" s="120"/>
    </row>
    <row r="95" spans="1:60" ht="34.5" customHeight="1">
      <c r="A95" s="14"/>
      <c r="B95" s="122">
        <f>IF(Roster!$AN$13=0,"",Roster!$AN$13)</f>
        <v>70000</v>
      </c>
      <c r="C95" s="403"/>
      <c r="D95" s="451"/>
      <c r="E95" s="452"/>
      <c r="F95" s="452"/>
      <c r="G95" s="452"/>
      <c r="H95" s="452"/>
      <c r="I95" s="452"/>
      <c r="J95" s="452"/>
      <c r="K95" s="452"/>
      <c r="L95" s="452"/>
      <c r="M95" s="452"/>
      <c r="N95" s="453"/>
      <c r="O95" s="120"/>
      <c r="P95" s="14"/>
      <c r="Q95" s="122">
        <f>IF(Roster!$AN$14=0,"",Roster!$AN$14)</f>
        <v>70000</v>
      </c>
      <c r="R95" s="403"/>
      <c r="S95" s="451"/>
      <c r="T95" s="452"/>
      <c r="U95" s="452"/>
      <c r="V95" s="452"/>
      <c r="W95" s="452"/>
      <c r="X95" s="452"/>
      <c r="Y95" s="452"/>
      <c r="Z95" s="452"/>
      <c r="AA95" s="452"/>
      <c r="AB95" s="452"/>
      <c r="AC95" s="453"/>
      <c r="AD95" s="120"/>
      <c r="AE95" s="14"/>
      <c r="AF95" s="122">
        <f>IF(Roster!$AN$15=0,"",Roster!$AN$15)</f>
        <v>70000</v>
      </c>
      <c r="AG95" s="403"/>
      <c r="AH95" s="451"/>
      <c r="AI95" s="452"/>
      <c r="AJ95" s="452"/>
      <c r="AK95" s="452"/>
      <c r="AL95" s="452"/>
      <c r="AM95" s="452"/>
      <c r="AN95" s="452"/>
      <c r="AO95" s="452"/>
      <c r="AP95" s="452"/>
      <c r="AQ95" s="452"/>
      <c r="AR95" s="453"/>
      <c r="AS95" s="120"/>
      <c r="AT95" s="14"/>
      <c r="AU95" s="122">
        <f>IF(Roster!$AN$16=0,"",Roster!$AN$16)</f>
        <v>70000</v>
      </c>
      <c r="AV95" s="403"/>
      <c r="AW95" s="451"/>
      <c r="AX95" s="452"/>
      <c r="AY95" s="452"/>
      <c r="AZ95" s="452"/>
      <c r="BA95" s="452"/>
      <c r="BB95" s="452"/>
      <c r="BC95" s="452"/>
      <c r="BD95" s="452"/>
      <c r="BE95" s="452"/>
      <c r="BF95" s="452"/>
      <c r="BG95" s="453"/>
      <c r="BH95" s="120"/>
    </row>
    <row r="96" spans="1:60" ht="4.5" customHeight="1">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c r="A98" s="14"/>
      <c r="B98" s="454" t="str">
        <f>IF(Roster!$A$17=0,"","#"&amp;Roster!$A$17)</f>
        <v>#16</v>
      </c>
      <c r="C98" s="105"/>
      <c r="D98" s="105"/>
      <c r="E98" s="105"/>
      <c r="F98" s="105"/>
      <c r="G98" s="105"/>
      <c r="H98" s="105"/>
      <c r="I98" s="105"/>
      <c r="J98" s="105"/>
      <c r="K98" s="105"/>
      <c r="L98" s="105"/>
      <c r="M98" s="105"/>
      <c r="N98" s="105"/>
      <c r="O98" s="105"/>
      <c r="P98" s="14"/>
      <c r="Q98" s="468"/>
      <c r="R98" s="214"/>
      <c r="S98" s="214"/>
      <c r="T98" s="214"/>
      <c r="U98" s="214"/>
      <c r="V98" s="214"/>
      <c r="W98" s="214"/>
      <c r="X98" s="214"/>
      <c r="Y98" s="214"/>
      <c r="Z98" s="214"/>
      <c r="AA98" s="214"/>
      <c r="AB98" s="214"/>
      <c r="AC98" s="214"/>
      <c r="AD98" s="105"/>
      <c r="AE98" s="14"/>
      <c r="AF98" s="468"/>
      <c r="AG98" s="214"/>
      <c r="AH98" s="214"/>
      <c r="AI98" s="214"/>
      <c r="AJ98" s="214"/>
      <c r="AK98" s="214"/>
      <c r="AL98" s="214"/>
      <c r="AM98" s="214"/>
      <c r="AN98" s="214"/>
      <c r="AO98" s="214"/>
      <c r="AP98" s="214"/>
      <c r="AQ98" s="214"/>
      <c r="AR98" s="214"/>
      <c r="AS98" s="105"/>
      <c r="AT98" s="14"/>
      <c r="AU98" s="468"/>
      <c r="AV98" s="214"/>
      <c r="AW98" s="214"/>
      <c r="AX98" s="214"/>
      <c r="AY98" s="214"/>
      <c r="AZ98" s="214"/>
      <c r="BA98" s="214"/>
      <c r="BB98" s="214"/>
      <c r="BC98" s="214"/>
      <c r="BD98" s="214"/>
      <c r="BE98" s="214"/>
      <c r="BF98" s="214"/>
      <c r="BG98" s="214"/>
      <c r="BH98" s="105"/>
    </row>
    <row r="99" spans="1:60" ht="15" customHeight="1">
      <c r="A99" s="14"/>
      <c r="B99" s="402"/>
      <c r="C99" s="444" t="str">
        <f>IF(Roster!$B$17=0,"",Roster!$B$17)</f>
        <v/>
      </c>
      <c r="D99" s="394"/>
      <c r="E99" s="394"/>
      <c r="F99" s="394"/>
      <c r="G99" s="394"/>
      <c r="H99" s="394"/>
      <c r="I99" s="394"/>
      <c r="J99" s="394"/>
      <c r="K99" s="394"/>
      <c r="L99" s="394"/>
      <c r="M99" s="394"/>
      <c r="N99" s="395"/>
      <c r="O99" s="105"/>
      <c r="P99" s="14"/>
      <c r="Q99" s="402"/>
      <c r="R99" s="465" t="str">
        <f>IF(Roster!$B$18=0,"","("&amp;Roster!$B$18&amp;")")</f>
        <v>(Star Player &amp; Mercenary)</v>
      </c>
      <c r="S99" s="466"/>
      <c r="T99" s="466"/>
      <c r="U99" s="466"/>
      <c r="V99" s="466"/>
      <c r="W99" s="466"/>
      <c r="X99" s="466"/>
      <c r="Y99" s="466"/>
      <c r="Z99" s="466"/>
      <c r="AA99" s="466"/>
      <c r="AB99" s="466"/>
      <c r="AC99" s="466"/>
      <c r="AD99" s="105"/>
      <c r="AE99" s="14"/>
      <c r="AF99" s="402"/>
      <c r="AG99" s="465" t="str">
        <f>IF(Roster!$B$19=0,"","("&amp;Roster!$B$19&amp;")")</f>
        <v>(Star Player &amp; Mercenary)</v>
      </c>
      <c r="AH99" s="466"/>
      <c r="AI99" s="466"/>
      <c r="AJ99" s="466"/>
      <c r="AK99" s="466"/>
      <c r="AL99" s="466"/>
      <c r="AM99" s="466"/>
      <c r="AN99" s="466"/>
      <c r="AO99" s="466"/>
      <c r="AP99" s="466"/>
      <c r="AQ99" s="466"/>
      <c r="AR99" s="466"/>
      <c r="AS99" s="105"/>
      <c r="AT99" s="14"/>
      <c r="AU99" s="402"/>
      <c r="AV99" s="465" t="str">
        <f>IF(Roster!$B$20=0,"","("&amp;Roster!$B$20&amp;")")</f>
        <v>(Mercenary)</v>
      </c>
      <c r="AW99" s="466"/>
      <c r="AX99" s="466"/>
      <c r="AY99" s="466"/>
      <c r="AZ99" s="466"/>
      <c r="BA99" s="466"/>
      <c r="BB99" s="466"/>
      <c r="BC99" s="466"/>
      <c r="BD99" s="466"/>
      <c r="BE99" s="466"/>
      <c r="BF99" s="466"/>
      <c r="BG99" s="466"/>
      <c r="BH99" s="105"/>
    </row>
    <row r="100" spans="1:60" ht="11.25" customHeight="1">
      <c r="A100" s="14"/>
      <c r="B100" s="403"/>
      <c r="C100" s="442" t="str">
        <f>IF(Roster!$C$17=0,"",Roster!$C$17)</f>
        <v/>
      </c>
      <c r="D100" s="394"/>
      <c r="E100" s="394"/>
      <c r="F100" s="394"/>
      <c r="G100" s="394"/>
      <c r="H100" s="394"/>
      <c r="I100" s="394"/>
      <c r="J100" s="394"/>
      <c r="K100" s="394"/>
      <c r="L100" s="394"/>
      <c r="M100" s="394"/>
      <c r="N100" s="395"/>
      <c r="O100" s="106"/>
      <c r="P100" s="14"/>
      <c r="Q100" s="403"/>
      <c r="R100" s="467" t="str">
        <f>IF(Roster!$C$18=0,"",Roster!$C$18)</f>
        <v/>
      </c>
      <c r="S100" s="467"/>
      <c r="T100" s="467"/>
      <c r="U100" s="467"/>
      <c r="V100" s="467"/>
      <c r="W100" s="467"/>
      <c r="X100" s="467"/>
      <c r="Y100" s="467"/>
      <c r="Z100" s="467"/>
      <c r="AA100" s="467"/>
      <c r="AB100" s="467"/>
      <c r="AC100" s="467"/>
      <c r="AD100" s="106"/>
      <c r="AE100" s="14"/>
      <c r="AF100" s="403"/>
      <c r="AG100" s="467" t="str">
        <f>IF(Roster!$C$19=0,"",Roster!$C$19)</f>
        <v/>
      </c>
      <c r="AH100" s="467"/>
      <c r="AI100" s="467"/>
      <c r="AJ100" s="467"/>
      <c r="AK100" s="467"/>
      <c r="AL100" s="467"/>
      <c r="AM100" s="467"/>
      <c r="AN100" s="467"/>
      <c r="AO100" s="467"/>
      <c r="AP100" s="467"/>
      <c r="AQ100" s="467"/>
      <c r="AR100" s="467"/>
      <c r="AS100" s="106"/>
      <c r="AT100" s="14"/>
      <c r="AU100" s="403"/>
      <c r="AV100" s="467" t="str">
        <f>IF(Roster!$C$20=0,"",Roster!$C$20)</f>
        <v/>
      </c>
      <c r="AW100" s="467"/>
      <c r="AX100" s="467"/>
      <c r="AY100" s="467"/>
      <c r="AZ100" s="467"/>
      <c r="BA100" s="467"/>
      <c r="BB100" s="467"/>
      <c r="BC100" s="467"/>
      <c r="BD100" s="467"/>
      <c r="BE100" s="467"/>
      <c r="BF100" s="467"/>
      <c r="BG100" s="467"/>
      <c r="BH100" s="106"/>
    </row>
    <row r="101" spans="1:60" ht="11.25" customHeight="1">
      <c r="A101" s="14"/>
      <c r="B101" s="109" t="str">
        <f>IF(Roster!$J$1=0,"",Roster!$J$1)</f>
        <v>MA</v>
      </c>
      <c r="C101" s="457"/>
      <c r="D101" s="394"/>
      <c r="E101" s="394"/>
      <c r="F101" s="394"/>
      <c r="G101" s="394"/>
      <c r="H101" s="394"/>
      <c r="I101" s="394"/>
      <c r="J101" s="394"/>
      <c r="K101" s="394"/>
      <c r="L101" s="394"/>
      <c r="M101" s="394"/>
      <c r="N101" s="395"/>
      <c r="O101" s="105"/>
      <c r="P101" s="14"/>
      <c r="Q101" s="109" t="str">
        <f>IF(Roster!$J$1=0,"",Roster!$J$1)</f>
        <v>MA</v>
      </c>
      <c r="R101" s="467"/>
      <c r="S101" s="467"/>
      <c r="T101" s="467"/>
      <c r="U101" s="467"/>
      <c r="V101" s="467"/>
      <c r="W101" s="467"/>
      <c r="X101" s="467"/>
      <c r="Y101" s="467"/>
      <c r="Z101" s="467"/>
      <c r="AA101" s="467"/>
      <c r="AB101" s="467"/>
      <c r="AC101" s="467"/>
      <c r="AD101" s="105"/>
      <c r="AE101" s="14"/>
      <c r="AF101" s="109" t="str">
        <f>IF(Roster!$J$1=0,"",Roster!$J$1)</f>
        <v>MA</v>
      </c>
      <c r="AG101" s="467"/>
      <c r="AH101" s="467"/>
      <c r="AI101" s="467"/>
      <c r="AJ101" s="467"/>
      <c r="AK101" s="467"/>
      <c r="AL101" s="467"/>
      <c r="AM101" s="467"/>
      <c r="AN101" s="467"/>
      <c r="AO101" s="467"/>
      <c r="AP101" s="467"/>
      <c r="AQ101" s="467"/>
      <c r="AR101" s="467"/>
      <c r="AS101" s="105"/>
      <c r="AT101" s="14"/>
      <c r="AU101" s="109" t="str">
        <f>IF(Roster!$J$1=0,"",Roster!$J$1)</f>
        <v>MA</v>
      </c>
      <c r="AV101" s="467"/>
      <c r="AW101" s="467"/>
      <c r="AX101" s="467"/>
      <c r="AY101" s="467"/>
      <c r="AZ101" s="467"/>
      <c r="BA101" s="467"/>
      <c r="BB101" s="467"/>
      <c r="BC101" s="467"/>
      <c r="BD101" s="467"/>
      <c r="BE101" s="467"/>
      <c r="BF101" s="467"/>
      <c r="BG101" s="467"/>
      <c r="BH101" s="105"/>
    </row>
    <row r="102" spans="1:60" ht="37.5" customHeight="1">
      <c r="A102" s="14"/>
      <c r="B102" s="111" t="str">
        <f>IF(Roster!$J$17=0,"",Roster!$J$17)</f>
        <v/>
      </c>
      <c r="C102" s="461"/>
      <c r="D102" s="458"/>
      <c r="E102" s="447"/>
      <c r="F102" s="447"/>
      <c r="G102" s="447"/>
      <c r="H102" s="447"/>
      <c r="I102" s="447"/>
      <c r="J102" s="447"/>
      <c r="K102" s="447"/>
      <c r="L102" s="447"/>
      <c r="M102" s="447"/>
      <c r="N102" s="448"/>
      <c r="O102" s="105"/>
      <c r="P102" s="14"/>
      <c r="Q102" s="111" t="str">
        <f>IF(Roster!$J$18=0,"",Roster!$J$18)</f>
        <v/>
      </c>
      <c r="R102" s="467"/>
      <c r="S102" s="467"/>
      <c r="T102" s="467"/>
      <c r="U102" s="467"/>
      <c r="V102" s="467"/>
      <c r="W102" s="467"/>
      <c r="X102" s="467"/>
      <c r="Y102" s="467"/>
      <c r="Z102" s="467"/>
      <c r="AA102" s="467"/>
      <c r="AB102" s="467"/>
      <c r="AC102" s="467"/>
      <c r="AD102" s="105"/>
      <c r="AE102" s="14"/>
      <c r="AF102" s="111" t="str">
        <f>IF(Roster!$J$19=0,"",Roster!$J$19)</f>
        <v/>
      </c>
      <c r="AG102" s="467"/>
      <c r="AH102" s="467"/>
      <c r="AI102" s="467"/>
      <c r="AJ102" s="467"/>
      <c r="AK102" s="467"/>
      <c r="AL102" s="467"/>
      <c r="AM102" s="467"/>
      <c r="AN102" s="467"/>
      <c r="AO102" s="467"/>
      <c r="AP102" s="467"/>
      <c r="AQ102" s="467"/>
      <c r="AR102" s="467"/>
      <c r="AS102" s="105"/>
      <c r="AT102" s="14"/>
      <c r="AU102" s="111" t="str">
        <f>IF(Roster!$J$20=0,"",Roster!$J$20)</f>
        <v/>
      </c>
      <c r="AV102" s="467"/>
      <c r="AW102" s="467"/>
      <c r="AX102" s="467"/>
      <c r="AY102" s="467"/>
      <c r="AZ102" s="467"/>
      <c r="BA102" s="467"/>
      <c r="BB102" s="467"/>
      <c r="BC102" s="467"/>
      <c r="BD102" s="467"/>
      <c r="BE102" s="467"/>
      <c r="BF102" s="467"/>
      <c r="BG102" s="467"/>
      <c r="BH102" s="105"/>
    </row>
    <row r="103" spans="1:60" ht="11.25" customHeight="1">
      <c r="A103" s="14"/>
      <c r="B103" s="109" t="str">
        <f>IF(Roster!$K$1=0,"",Roster!$K$1)</f>
        <v>ST</v>
      </c>
      <c r="C103" s="402"/>
      <c r="D103" s="449"/>
      <c r="E103" s="356"/>
      <c r="F103" s="356"/>
      <c r="G103" s="356"/>
      <c r="H103" s="356"/>
      <c r="I103" s="356"/>
      <c r="J103" s="356"/>
      <c r="K103" s="356"/>
      <c r="L103" s="356"/>
      <c r="M103" s="356"/>
      <c r="N103" s="450"/>
      <c r="O103" s="105"/>
      <c r="P103" s="14"/>
      <c r="Q103" s="109" t="str">
        <f>IF(Roster!$K$1=0,"",Roster!$K$1)</f>
        <v>ST</v>
      </c>
      <c r="R103" s="215"/>
      <c r="S103" s="462" t="str">
        <f>IF(Roster!$J$25="Italiano","REGOLE SPECIALI",(IF(Roster!$J$25="Español","REGLA ESPECIAL","SPECIAL RULE")))</f>
        <v>SPECIAL RULE</v>
      </c>
      <c r="T103" s="449"/>
      <c r="U103" s="449"/>
      <c r="V103" s="449"/>
      <c r="W103" s="449"/>
      <c r="X103" s="449"/>
      <c r="Y103" s="449"/>
      <c r="Z103" s="449"/>
      <c r="AA103" s="449"/>
      <c r="AB103" s="449"/>
      <c r="AC103" s="449"/>
      <c r="AD103" s="105"/>
      <c r="AE103" s="14"/>
      <c r="AF103" s="109" t="str">
        <f>IF(Roster!$K$1=0,"",Roster!$K$1)</f>
        <v>ST</v>
      </c>
      <c r="AG103" s="215"/>
      <c r="AH103" s="462" t="str">
        <f>IF(Roster!$J$25="Italiano","REGOLE SPECIALI",(IF(Roster!$J$25="Español","REGLA ESPECIAL","SPECIAL RULE")))</f>
        <v>SPECIAL RULE</v>
      </c>
      <c r="AI103" s="449"/>
      <c r="AJ103" s="449"/>
      <c r="AK103" s="449"/>
      <c r="AL103" s="449"/>
      <c r="AM103" s="449"/>
      <c r="AN103" s="449"/>
      <c r="AO103" s="449"/>
      <c r="AP103" s="449"/>
      <c r="AQ103" s="449"/>
      <c r="AR103" s="449"/>
      <c r="AS103" s="105"/>
      <c r="AT103" s="14"/>
      <c r="AU103" s="109" t="str">
        <f>IF(Roster!$K$1=0,"",Roster!$K$1)</f>
        <v>ST</v>
      </c>
      <c r="AV103" s="215"/>
      <c r="AW103" s="462" t="str">
        <f>IF(Roster!$J$25="Italiano","REGOLE SPECIALI",(IF(Roster!$J$25="Español","REGLA ESPECIAL","SPECIAL RULE")))</f>
        <v>SPECIAL RULE</v>
      </c>
      <c r="AX103" s="449"/>
      <c r="AY103" s="449"/>
      <c r="AZ103" s="449"/>
      <c r="BA103" s="449"/>
      <c r="BB103" s="449"/>
      <c r="BC103" s="449"/>
      <c r="BD103" s="449"/>
      <c r="BE103" s="449"/>
      <c r="BF103" s="449"/>
      <c r="BG103" s="449"/>
      <c r="BH103" s="105"/>
    </row>
    <row r="104" spans="1:60" ht="37.5" customHeight="1">
      <c r="A104" s="14"/>
      <c r="B104" s="111" t="str">
        <f>IF(Roster!$K$17=0,"",Roster!$K$17)</f>
        <v/>
      </c>
      <c r="C104" s="402"/>
      <c r="D104" s="449"/>
      <c r="E104" s="356"/>
      <c r="F104" s="356"/>
      <c r="G104" s="356"/>
      <c r="H104" s="356"/>
      <c r="I104" s="356"/>
      <c r="J104" s="356"/>
      <c r="K104" s="356"/>
      <c r="L104" s="356"/>
      <c r="M104" s="356"/>
      <c r="N104" s="450"/>
      <c r="O104" s="105"/>
      <c r="P104" s="14"/>
      <c r="Q104" s="111" t="str">
        <f>IF(Roster!$K$18=0,"",Roster!$K$18)</f>
        <v/>
      </c>
      <c r="R104" s="215"/>
      <c r="S104" s="463" t="str">
        <f>IF(Roster!$AA$18=0,"",Roster!$AA$18)</f>
        <v/>
      </c>
      <c r="T104" s="463"/>
      <c r="U104" s="463"/>
      <c r="V104" s="463"/>
      <c r="W104" s="463"/>
      <c r="X104" s="463"/>
      <c r="Y104" s="463"/>
      <c r="Z104" s="463"/>
      <c r="AA104" s="463"/>
      <c r="AB104" s="463"/>
      <c r="AC104" s="463"/>
      <c r="AD104" s="105"/>
      <c r="AE104" s="14"/>
      <c r="AF104" s="111" t="str">
        <f>IF(Roster!$K$19=0,"",Roster!$K$19)</f>
        <v/>
      </c>
      <c r="AG104" s="215"/>
      <c r="AH104" s="463" t="str">
        <f>IF(Roster!$AA$19=0,"",Roster!$AA$19)</f>
        <v/>
      </c>
      <c r="AI104" s="463"/>
      <c r="AJ104" s="463"/>
      <c r="AK104" s="463"/>
      <c r="AL104" s="463"/>
      <c r="AM104" s="463"/>
      <c r="AN104" s="463"/>
      <c r="AO104" s="463"/>
      <c r="AP104" s="463"/>
      <c r="AQ104" s="463"/>
      <c r="AR104" s="463"/>
      <c r="AS104" s="105"/>
      <c r="AT104" s="14"/>
      <c r="AU104" s="111" t="str">
        <f>IF(Roster!$K$20=0,"",Roster!$K$20)</f>
        <v/>
      </c>
      <c r="AV104" s="215"/>
      <c r="AW104" s="463" t="str">
        <f>IF(Roster!$AA$20=0,"",Roster!$AA$20)</f>
        <v/>
      </c>
      <c r="AX104" s="463"/>
      <c r="AY104" s="463"/>
      <c r="AZ104" s="463"/>
      <c r="BA104" s="463"/>
      <c r="BB104" s="463"/>
      <c r="BC104" s="463"/>
      <c r="BD104" s="463"/>
      <c r="BE104" s="463"/>
      <c r="BF104" s="463"/>
      <c r="BG104" s="463"/>
      <c r="BH104" s="105"/>
    </row>
    <row r="105" spans="1:60" ht="11.25" customHeight="1">
      <c r="A105" s="14"/>
      <c r="B105" s="109" t="str">
        <f>IF(Roster!$L$1=0,"",Roster!$L$1)</f>
        <v>AG</v>
      </c>
      <c r="C105" s="402"/>
      <c r="D105" s="449"/>
      <c r="E105" s="356"/>
      <c r="F105" s="356"/>
      <c r="G105" s="356"/>
      <c r="H105" s="356"/>
      <c r="I105" s="356"/>
      <c r="J105" s="356"/>
      <c r="K105" s="356"/>
      <c r="L105" s="356"/>
      <c r="M105" s="356"/>
      <c r="N105" s="450"/>
      <c r="O105" s="105"/>
      <c r="P105" s="14"/>
      <c r="Q105" s="109" t="str">
        <f>IF(Roster!$L$1=0,"",Roster!$L$1)</f>
        <v>AG</v>
      </c>
      <c r="R105" s="215"/>
      <c r="S105" s="463"/>
      <c r="T105" s="463"/>
      <c r="U105" s="463"/>
      <c r="V105" s="463"/>
      <c r="W105" s="463"/>
      <c r="X105" s="463"/>
      <c r="Y105" s="463"/>
      <c r="Z105" s="463"/>
      <c r="AA105" s="463"/>
      <c r="AB105" s="463"/>
      <c r="AC105" s="463"/>
      <c r="AD105" s="105"/>
      <c r="AE105" s="14"/>
      <c r="AF105" s="109" t="str">
        <f>IF(Roster!$L$1=0,"",Roster!$L$1)</f>
        <v>AG</v>
      </c>
      <c r="AG105" s="215"/>
      <c r="AH105" s="463"/>
      <c r="AI105" s="463"/>
      <c r="AJ105" s="463"/>
      <c r="AK105" s="463"/>
      <c r="AL105" s="463"/>
      <c r="AM105" s="463"/>
      <c r="AN105" s="463"/>
      <c r="AO105" s="463"/>
      <c r="AP105" s="463"/>
      <c r="AQ105" s="463"/>
      <c r="AR105" s="463"/>
      <c r="AS105" s="105"/>
      <c r="AT105" s="14"/>
      <c r="AU105" s="109" t="str">
        <f>IF(Roster!$L$1=0,"",Roster!$L$1)</f>
        <v>AG</v>
      </c>
      <c r="AV105" s="215"/>
      <c r="AW105" s="463"/>
      <c r="AX105" s="463"/>
      <c r="AY105" s="463"/>
      <c r="AZ105" s="463"/>
      <c r="BA105" s="463"/>
      <c r="BB105" s="463"/>
      <c r="BC105" s="463"/>
      <c r="BD105" s="463"/>
      <c r="BE105" s="463"/>
      <c r="BF105" s="463"/>
      <c r="BG105" s="463"/>
      <c r="BH105" s="105"/>
    </row>
    <row r="106" spans="1:60" ht="37.5" customHeight="1">
      <c r="A106" s="14"/>
      <c r="B106" s="111" t="str">
        <f>IF(Roster!$L$17=0&amp;"+","",Roster!$L$17)</f>
        <v/>
      </c>
      <c r="C106" s="402"/>
      <c r="D106" s="449"/>
      <c r="E106" s="356"/>
      <c r="F106" s="356"/>
      <c r="G106" s="356"/>
      <c r="H106" s="356"/>
      <c r="I106" s="356"/>
      <c r="J106" s="356"/>
      <c r="K106" s="356"/>
      <c r="L106" s="356"/>
      <c r="M106" s="356"/>
      <c r="N106" s="450"/>
      <c r="O106" s="105"/>
      <c r="P106" s="14"/>
      <c r="Q106" s="111" t="str">
        <f>IF(Roster!$L$18=0,"",Roster!$L$18)</f>
        <v/>
      </c>
      <c r="R106" s="215"/>
      <c r="S106" s="463"/>
      <c r="T106" s="463"/>
      <c r="U106" s="463"/>
      <c r="V106" s="463"/>
      <c r="W106" s="463"/>
      <c r="X106" s="463"/>
      <c r="Y106" s="463"/>
      <c r="Z106" s="463"/>
      <c r="AA106" s="463"/>
      <c r="AB106" s="463"/>
      <c r="AC106" s="463"/>
      <c r="AD106" s="105"/>
      <c r="AE106" s="14"/>
      <c r="AF106" s="111" t="str">
        <f>IF(Roster!$L$19=0,"",Roster!$L$19)</f>
        <v/>
      </c>
      <c r="AG106" s="215"/>
      <c r="AH106" s="463"/>
      <c r="AI106" s="463"/>
      <c r="AJ106" s="463"/>
      <c r="AK106" s="463"/>
      <c r="AL106" s="463"/>
      <c r="AM106" s="463"/>
      <c r="AN106" s="463"/>
      <c r="AO106" s="463"/>
      <c r="AP106" s="463"/>
      <c r="AQ106" s="463"/>
      <c r="AR106" s="463"/>
      <c r="AS106" s="105"/>
      <c r="AT106" s="14"/>
      <c r="AU106" s="111" t="str">
        <f>IF(Roster!$L$20=0,"",Roster!$L$20)</f>
        <v/>
      </c>
      <c r="AV106" s="215"/>
      <c r="AW106" s="463"/>
      <c r="AX106" s="463"/>
      <c r="AY106" s="463"/>
      <c r="AZ106" s="463"/>
      <c r="BA106" s="463"/>
      <c r="BB106" s="463"/>
      <c r="BC106" s="463"/>
      <c r="BD106" s="463"/>
      <c r="BE106" s="463"/>
      <c r="BF106" s="463"/>
      <c r="BG106" s="463"/>
      <c r="BH106" s="105"/>
    </row>
    <row r="107" spans="1:60" ht="11.25" customHeight="1">
      <c r="A107" s="14"/>
      <c r="B107" s="109" t="str">
        <f>IF(Roster!$M$1=0,"",Roster!$M$1)</f>
        <v>PA</v>
      </c>
      <c r="C107" s="402"/>
      <c r="D107" s="449"/>
      <c r="E107" s="356"/>
      <c r="F107" s="356"/>
      <c r="G107" s="356"/>
      <c r="H107" s="356"/>
      <c r="I107" s="356"/>
      <c r="J107" s="356"/>
      <c r="K107" s="356"/>
      <c r="L107" s="356"/>
      <c r="M107" s="356"/>
      <c r="N107" s="450"/>
      <c r="O107" s="114"/>
      <c r="P107" s="14"/>
      <c r="Q107" s="109" t="str">
        <f>IF(Roster!$M$1=0,"",Roster!$M$1)</f>
        <v>PA</v>
      </c>
      <c r="R107" s="215"/>
      <c r="S107" s="463"/>
      <c r="T107" s="463"/>
      <c r="U107" s="463"/>
      <c r="V107" s="463"/>
      <c r="W107" s="463"/>
      <c r="X107" s="463"/>
      <c r="Y107" s="463"/>
      <c r="Z107" s="463"/>
      <c r="AA107" s="463"/>
      <c r="AB107" s="463"/>
      <c r="AC107" s="463"/>
      <c r="AD107" s="114"/>
      <c r="AE107" s="14"/>
      <c r="AF107" s="109" t="str">
        <f>IF(Roster!$M$1=0,"",Roster!$M$1)</f>
        <v>PA</v>
      </c>
      <c r="AG107" s="215"/>
      <c r="AH107" s="463"/>
      <c r="AI107" s="463"/>
      <c r="AJ107" s="463"/>
      <c r="AK107" s="463"/>
      <c r="AL107" s="463"/>
      <c r="AM107" s="463"/>
      <c r="AN107" s="463"/>
      <c r="AO107" s="463"/>
      <c r="AP107" s="463"/>
      <c r="AQ107" s="463"/>
      <c r="AR107" s="463"/>
      <c r="AS107" s="114"/>
      <c r="AT107" s="14"/>
      <c r="AU107" s="109" t="str">
        <f>IF(Roster!$M$1=0,"",Roster!$M$1)</f>
        <v>PA</v>
      </c>
      <c r="AV107" s="215"/>
      <c r="AW107" s="463"/>
      <c r="AX107" s="463"/>
      <c r="AY107" s="463"/>
      <c r="AZ107" s="463"/>
      <c r="BA107" s="463"/>
      <c r="BB107" s="463"/>
      <c r="BC107" s="463"/>
      <c r="BD107" s="463"/>
      <c r="BE107" s="463"/>
      <c r="BF107" s="463"/>
      <c r="BG107" s="463"/>
      <c r="BH107" s="114"/>
    </row>
    <row r="108" spans="1:60" ht="6" customHeight="1">
      <c r="A108" s="14"/>
      <c r="B108" s="456" t="str">
        <f>IF(Roster!$M$17=0&amp;"+","",Roster!$M$17)</f>
        <v/>
      </c>
      <c r="C108" s="402"/>
      <c r="D108" s="451"/>
      <c r="E108" s="452"/>
      <c r="F108" s="452"/>
      <c r="G108" s="452"/>
      <c r="H108" s="452"/>
      <c r="I108" s="452"/>
      <c r="J108" s="452"/>
      <c r="K108" s="452"/>
      <c r="L108" s="452"/>
      <c r="M108" s="452"/>
      <c r="N108" s="453"/>
      <c r="O108" s="116"/>
      <c r="P108" s="14"/>
      <c r="Q108" s="456" t="str">
        <f>IF(Roster!$M$18=0,"",Roster!$M$18)</f>
        <v/>
      </c>
      <c r="R108" s="215"/>
      <c r="S108" s="463"/>
      <c r="T108" s="463"/>
      <c r="U108" s="463"/>
      <c r="V108" s="463"/>
      <c r="W108" s="463"/>
      <c r="X108" s="463"/>
      <c r="Y108" s="463"/>
      <c r="Z108" s="463"/>
      <c r="AA108" s="463"/>
      <c r="AB108" s="463"/>
      <c r="AC108" s="463"/>
      <c r="AD108" s="116"/>
      <c r="AE108" s="14"/>
      <c r="AF108" s="456" t="str">
        <f>IF(Roster!$M$19=0,"",Roster!$M$19)</f>
        <v/>
      </c>
      <c r="AG108" s="215"/>
      <c r="AH108" s="463"/>
      <c r="AI108" s="463"/>
      <c r="AJ108" s="463"/>
      <c r="AK108" s="463"/>
      <c r="AL108" s="463"/>
      <c r="AM108" s="463"/>
      <c r="AN108" s="463"/>
      <c r="AO108" s="463"/>
      <c r="AP108" s="463"/>
      <c r="AQ108" s="463"/>
      <c r="AR108" s="463"/>
      <c r="AS108" s="116"/>
      <c r="AT108" s="14"/>
      <c r="AU108" s="456" t="str">
        <f>IF(Roster!$M$20=0,"",Roster!$M$20)</f>
        <v/>
      </c>
      <c r="AV108" s="215"/>
      <c r="AW108" s="463"/>
      <c r="AX108" s="463"/>
      <c r="AY108" s="463"/>
      <c r="AZ108" s="463"/>
      <c r="BA108" s="463"/>
      <c r="BB108" s="463"/>
      <c r="BC108" s="463"/>
      <c r="BD108" s="463"/>
      <c r="BE108" s="463"/>
      <c r="BF108" s="463"/>
      <c r="BG108" s="463"/>
      <c r="BH108" s="116"/>
    </row>
    <row r="109" spans="1:60" ht="4.5" customHeight="1">
      <c r="A109" s="14"/>
      <c r="B109" s="402"/>
      <c r="C109" s="402"/>
      <c r="D109" s="117"/>
      <c r="E109" s="118"/>
      <c r="F109" s="117"/>
      <c r="G109" s="118"/>
      <c r="H109" s="117"/>
      <c r="I109" s="118"/>
      <c r="J109" s="117"/>
      <c r="K109" s="118"/>
      <c r="L109" s="117"/>
      <c r="M109" s="118"/>
      <c r="N109" s="117"/>
      <c r="O109" s="116"/>
      <c r="P109" s="14"/>
      <c r="Q109" s="402"/>
      <c r="R109" s="215"/>
      <c r="S109" s="463"/>
      <c r="T109" s="463"/>
      <c r="U109" s="463"/>
      <c r="V109" s="463"/>
      <c r="W109" s="463"/>
      <c r="X109" s="463"/>
      <c r="Y109" s="463"/>
      <c r="Z109" s="463"/>
      <c r="AA109" s="463"/>
      <c r="AB109" s="463"/>
      <c r="AC109" s="463"/>
      <c r="AD109" s="116"/>
      <c r="AE109" s="14"/>
      <c r="AF109" s="402"/>
      <c r="AG109" s="215"/>
      <c r="AH109" s="463"/>
      <c r="AI109" s="463"/>
      <c r="AJ109" s="463"/>
      <c r="AK109" s="463"/>
      <c r="AL109" s="463"/>
      <c r="AM109" s="463"/>
      <c r="AN109" s="463"/>
      <c r="AO109" s="463"/>
      <c r="AP109" s="463"/>
      <c r="AQ109" s="463"/>
      <c r="AR109" s="463"/>
      <c r="AS109" s="116"/>
      <c r="AT109" s="14"/>
      <c r="AU109" s="402"/>
      <c r="AV109" s="215"/>
      <c r="AW109" s="463"/>
      <c r="AX109" s="463"/>
      <c r="AY109" s="463"/>
      <c r="AZ109" s="463"/>
      <c r="BA109" s="463"/>
      <c r="BB109" s="463"/>
      <c r="BC109" s="463"/>
      <c r="BD109" s="463"/>
      <c r="BE109" s="463"/>
      <c r="BF109" s="463"/>
      <c r="BG109" s="463"/>
      <c r="BH109" s="116"/>
    </row>
    <row r="110" spans="1:60" ht="11.25" customHeight="1">
      <c r="A110" s="14"/>
      <c r="B110" s="402"/>
      <c r="C110" s="402"/>
      <c r="D110" s="460" t="str">
        <f>IF(Roster!$J$24="Italiano","ABILITÀ &amp; TRATTI",(IF(Roster!$J$24="Español","HABILIDADES Y RASGOS","SKILLS &amp; TRAITS")))</f>
        <v>SKILLS &amp; TRAITS</v>
      </c>
      <c r="E110" s="394"/>
      <c r="F110" s="394"/>
      <c r="G110" s="394"/>
      <c r="H110" s="394"/>
      <c r="I110" s="394"/>
      <c r="J110" s="394"/>
      <c r="K110" s="394"/>
      <c r="L110" s="394"/>
      <c r="M110" s="394"/>
      <c r="N110" s="395"/>
      <c r="O110" s="116"/>
      <c r="P110" s="14"/>
      <c r="Q110" s="402"/>
      <c r="R110" s="215"/>
      <c r="S110" s="463"/>
      <c r="T110" s="463"/>
      <c r="U110" s="463"/>
      <c r="V110" s="463"/>
      <c r="W110" s="463"/>
      <c r="X110" s="463"/>
      <c r="Y110" s="463"/>
      <c r="Z110" s="463"/>
      <c r="AA110" s="463"/>
      <c r="AB110" s="463"/>
      <c r="AC110" s="463"/>
      <c r="AD110" s="116"/>
      <c r="AE110" s="14"/>
      <c r="AF110" s="402"/>
      <c r="AG110" s="215"/>
      <c r="AH110" s="463"/>
      <c r="AI110" s="463"/>
      <c r="AJ110" s="463"/>
      <c r="AK110" s="463"/>
      <c r="AL110" s="463"/>
      <c r="AM110" s="463"/>
      <c r="AN110" s="463"/>
      <c r="AO110" s="463"/>
      <c r="AP110" s="463"/>
      <c r="AQ110" s="463"/>
      <c r="AR110" s="463"/>
      <c r="AS110" s="116"/>
      <c r="AT110" s="14"/>
      <c r="AU110" s="402"/>
      <c r="AV110" s="215"/>
      <c r="AW110" s="463"/>
      <c r="AX110" s="463"/>
      <c r="AY110" s="463"/>
      <c r="AZ110" s="463"/>
      <c r="BA110" s="463"/>
      <c r="BB110" s="463"/>
      <c r="BC110" s="463"/>
      <c r="BD110" s="463"/>
      <c r="BE110" s="463"/>
      <c r="BF110" s="463"/>
      <c r="BG110" s="463"/>
      <c r="BH110" s="116"/>
    </row>
    <row r="111" spans="1:60" ht="15" customHeight="1">
      <c r="A111" s="14"/>
      <c r="B111" s="402"/>
      <c r="C111" s="402"/>
      <c r="D111" s="459" t="str">
        <f>IF(Roster!$O$17=0,"",Roster!$O$17&amp;Roster!BF17)</f>
        <v/>
      </c>
      <c r="E111" s="447"/>
      <c r="F111" s="447"/>
      <c r="G111" s="447"/>
      <c r="H111" s="447"/>
      <c r="I111" s="447"/>
      <c r="J111" s="447"/>
      <c r="K111" s="447"/>
      <c r="L111" s="447"/>
      <c r="M111" s="447"/>
      <c r="N111" s="448"/>
      <c r="O111" s="116"/>
      <c r="P111" s="14"/>
      <c r="Q111" s="402"/>
      <c r="R111" s="215"/>
      <c r="S111" s="463"/>
      <c r="T111" s="463"/>
      <c r="U111" s="463"/>
      <c r="V111" s="463"/>
      <c r="W111" s="463"/>
      <c r="X111" s="463"/>
      <c r="Y111" s="463"/>
      <c r="Z111" s="463"/>
      <c r="AA111" s="463"/>
      <c r="AB111" s="463"/>
      <c r="AC111" s="463"/>
      <c r="AD111" s="116"/>
      <c r="AE111" s="14"/>
      <c r="AF111" s="402"/>
      <c r="AG111" s="215"/>
      <c r="AH111" s="463"/>
      <c r="AI111" s="463"/>
      <c r="AJ111" s="463"/>
      <c r="AK111" s="463"/>
      <c r="AL111" s="463"/>
      <c r="AM111" s="463"/>
      <c r="AN111" s="463"/>
      <c r="AO111" s="463"/>
      <c r="AP111" s="463"/>
      <c r="AQ111" s="463"/>
      <c r="AR111" s="463"/>
      <c r="AS111" s="116"/>
      <c r="AT111" s="14"/>
      <c r="AU111" s="402"/>
      <c r="AV111" s="215"/>
      <c r="AW111" s="463"/>
      <c r="AX111" s="463"/>
      <c r="AY111" s="463"/>
      <c r="AZ111" s="463"/>
      <c r="BA111" s="463"/>
      <c r="BB111" s="463"/>
      <c r="BC111" s="463"/>
      <c r="BD111" s="463"/>
      <c r="BE111" s="463"/>
      <c r="BF111" s="463"/>
      <c r="BG111" s="463"/>
      <c r="BH111" s="116"/>
    </row>
    <row r="112" spans="1:60" ht="4.5" customHeight="1">
      <c r="A112" s="14"/>
      <c r="B112" s="403"/>
      <c r="C112" s="402"/>
      <c r="D112" s="449"/>
      <c r="E112" s="356"/>
      <c r="F112" s="356"/>
      <c r="G112" s="356"/>
      <c r="H112" s="356"/>
      <c r="I112" s="356"/>
      <c r="J112" s="356"/>
      <c r="K112" s="356"/>
      <c r="L112" s="356"/>
      <c r="M112" s="356"/>
      <c r="N112" s="450"/>
      <c r="O112" s="116"/>
      <c r="P112" s="14"/>
      <c r="Q112" s="403"/>
      <c r="R112" s="110"/>
      <c r="S112" s="123"/>
      <c r="T112" s="123"/>
      <c r="U112" s="123"/>
      <c r="V112" s="123"/>
      <c r="W112" s="123"/>
      <c r="X112" s="123"/>
      <c r="Y112" s="123"/>
      <c r="Z112" s="123"/>
      <c r="AA112" s="123"/>
      <c r="AB112" s="123"/>
      <c r="AC112" s="105"/>
      <c r="AD112" s="116"/>
      <c r="AE112" s="14"/>
      <c r="AF112" s="403"/>
      <c r="AG112" s="110"/>
      <c r="AH112" s="123"/>
      <c r="AI112" s="123"/>
      <c r="AJ112" s="123"/>
      <c r="AK112" s="123"/>
      <c r="AL112" s="123"/>
      <c r="AM112" s="123"/>
      <c r="AN112" s="123"/>
      <c r="AO112" s="123"/>
      <c r="AP112" s="123"/>
      <c r="AQ112" s="123"/>
      <c r="AR112" s="105"/>
      <c r="AS112" s="116"/>
      <c r="AT112" s="14"/>
      <c r="AU112" s="403"/>
      <c r="AV112" s="110"/>
      <c r="AW112" s="123"/>
      <c r="AX112" s="123"/>
      <c r="AY112" s="123"/>
      <c r="AZ112" s="123"/>
      <c r="BA112" s="123"/>
      <c r="BB112" s="123"/>
      <c r="BC112" s="123"/>
      <c r="BD112" s="123"/>
      <c r="BE112" s="123"/>
      <c r="BF112" s="123"/>
      <c r="BG112" s="105"/>
      <c r="BH112" s="116"/>
    </row>
    <row r="113" spans="1:60" ht="11.25" customHeight="1">
      <c r="A113" s="14"/>
      <c r="B113" s="109" t="str">
        <f>IF(Roster!$N$1=0,"",Roster!$N$1)</f>
        <v>AV</v>
      </c>
      <c r="C113" s="402"/>
      <c r="D113" s="449"/>
      <c r="E113" s="356"/>
      <c r="F113" s="356"/>
      <c r="G113" s="356"/>
      <c r="H113" s="356"/>
      <c r="I113" s="356"/>
      <c r="J113" s="356"/>
      <c r="K113" s="356"/>
      <c r="L113" s="356"/>
      <c r="M113" s="356"/>
      <c r="N113" s="450"/>
      <c r="O113" s="105"/>
      <c r="P113" s="14"/>
      <c r="Q113" s="109" t="str">
        <f>IF(Roster!$N$1=0,"",Roster!$N$1)</f>
        <v>AV</v>
      </c>
      <c r="R113" s="110"/>
      <c r="S113" s="460" t="str">
        <f>IF(Roster!$J$24="Italiano","ABILITÀ &amp; TRATTI",(IF(Roster!$J$24="Español","HABILIDADES Y RASGOS","SKILLS &amp; TRAITS")))</f>
        <v>SKILLS &amp; TRAITS</v>
      </c>
      <c r="T113" s="394"/>
      <c r="U113" s="394"/>
      <c r="V113" s="394"/>
      <c r="W113" s="394"/>
      <c r="X113" s="394"/>
      <c r="Y113" s="394"/>
      <c r="Z113" s="394"/>
      <c r="AA113" s="394"/>
      <c r="AB113" s="394"/>
      <c r="AC113" s="395"/>
      <c r="AD113" s="105"/>
      <c r="AE113" s="14"/>
      <c r="AF113" s="109" t="str">
        <f>IF(Roster!$N$1=0,"",Roster!$N$1)</f>
        <v>AV</v>
      </c>
      <c r="AG113" s="110"/>
      <c r="AH113" s="460" t="str">
        <f>IF(Roster!$J$24="Italiano","ABILITÀ &amp; TRATTI",(IF(Roster!$J$24="Español","HABILIDADES Y RASGOS","SKILLS &amp; TRAITS")))</f>
        <v>SKILLS &amp; TRAITS</v>
      </c>
      <c r="AI113" s="394"/>
      <c r="AJ113" s="394"/>
      <c r="AK113" s="394"/>
      <c r="AL113" s="394"/>
      <c r="AM113" s="394"/>
      <c r="AN113" s="394"/>
      <c r="AO113" s="394"/>
      <c r="AP113" s="394"/>
      <c r="AQ113" s="394"/>
      <c r="AR113" s="395"/>
      <c r="AS113" s="105"/>
      <c r="AT113" s="14"/>
      <c r="AU113" s="109" t="str">
        <f>IF(Roster!$N$1=0,"",Roster!$N$1)</f>
        <v>AV</v>
      </c>
      <c r="AV113" s="110"/>
      <c r="AW113" s="460" t="str">
        <f>IF(Roster!$J$24="Italiano","ABILITÀ &amp; TRATTI",(IF(Roster!$J$24="Español","HABILIDADES Y RASGOS","SKILLS &amp; TRAITS")))</f>
        <v>SKILLS &amp; TRAITS</v>
      </c>
      <c r="AX113" s="394"/>
      <c r="AY113" s="394"/>
      <c r="AZ113" s="394"/>
      <c r="BA113" s="394"/>
      <c r="BB113" s="394"/>
      <c r="BC113" s="394"/>
      <c r="BD113" s="394"/>
      <c r="BE113" s="394"/>
      <c r="BF113" s="394"/>
      <c r="BG113" s="395"/>
      <c r="BH113" s="105"/>
    </row>
    <row r="114" spans="1:60" ht="15" customHeight="1">
      <c r="A114" s="14"/>
      <c r="B114" s="456" t="str">
        <f>IF(Roster!$N$17=0&amp;"+","",Roster!$N$17)</f>
        <v/>
      </c>
      <c r="C114" s="402"/>
      <c r="D114" s="449"/>
      <c r="E114" s="356"/>
      <c r="F114" s="356"/>
      <c r="G114" s="356"/>
      <c r="H114" s="356"/>
      <c r="I114" s="356"/>
      <c r="J114" s="356"/>
      <c r="K114" s="356"/>
      <c r="L114" s="356"/>
      <c r="M114" s="356"/>
      <c r="N114" s="450"/>
      <c r="O114" s="119"/>
      <c r="P114" s="14"/>
      <c r="Q114" s="456" t="str">
        <f>IF(Roster!$N$18=0,"",Roster!$N$18)</f>
        <v/>
      </c>
      <c r="R114" s="109"/>
      <c r="S114" s="464" t="str">
        <f>IF(Roster!$O$18=0,"",Roster!$O$18)</f>
        <v/>
      </c>
      <c r="T114" s="464"/>
      <c r="U114" s="464"/>
      <c r="V114" s="464"/>
      <c r="W114" s="464"/>
      <c r="X114" s="464"/>
      <c r="Y114" s="464"/>
      <c r="Z114" s="464"/>
      <c r="AA114" s="464"/>
      <c r="AB114" s="464"/>
      <c r="AC114" s="464"/>
      <c r="AD114" s="119"/>
      <c r="AE114" s="14"/>
      <c r="AF114" s="456" t="str">
        <f>IF(Roster!$N$19=0,"",Roster!$N$19)</f>
        <v/>
      </c>
      <c r="AG114" s="109"/>
      <c r="AH114" s="464" t="str">
        <f>IF(Roster!$O$19=0,"",Roster!$O$19)</f>
        <v/>
      </c>
      <c r="AI114" s="464"/>
      <c r="AJ114" s="464"/>
      <c r="AK114" s="464"/>
      <c r="AL114" s="464"/>
      <c r="AM114" s="464"/>
      <c r="AN114" s="464"/>
      <c r="AO114" s="464"/>
      <c r="AP114" s="464"/>
      <c r="AQ114" s="464"/>
      <c r="AR114" s="464"/>
      <c r="AS114" s="119"/>
      <c r="AT114" s="14"/>
      <c r="AU114" s="456" t="str">
        <f>IF(Roster!$N$20=0,"",Roster!$N$20)</f>
        <v/>
      </c>
      <c r="AV114" s="109"/>
      <c r="AW114" s="464" t="str">
        <f>IF(Roster!$O$20=0,"",Roster!$O$20)</f>
        <v/>
      </c>
      <c r="AX114" s="464"/>
      <c r="AY114" s="464"/>
      <c r="AZ114" s="464"/>
      <c r="BA114" s="464"/>
      <c r="BB114" s="464"/>
      <c r="BC114" s="464"/>
      <c r="BD114" s="464"/>
      <c r="BE114" s="464"/>
      <c r="BF114" s="464"/>
      <c r="BG114" s="464"/>
      <c r="BH114" s="119"/>
    </row>
    <row r="115" spans="1:60" ht="4.5" customHeight="1">
      <c r="A115" s="14"/>
      <c r="B115" s="402"/>
      <c r="C115" s="402"/>
      <c r="D115" s="449"/>
      <c r="E115" s="356"/>
      <c r="F115" s="356"/>
      <c r="G115" s="356"/>
      <c r="H115" s="356"/>
      <c r="I115" s="356"/>
      <c r="J115" s="356"/>
      <c r="K115" s="356"/>
      <c r="L115" s="356"/>
      <c r="M115" s="356"/>
      <c r="N115" s="450"/>
      <c r="O115" s="119"/>
      <c r="P115" s="14"/>
      <c r="Q115" s="402"/>
      <c r="R115" s="123"/>
      <c r="S115" s="464"/>
      <c r="T115" s="464"/>
      <c r="U115" s="464"/>
      <c r="V115" s="464"/>
      <c r="W115" s="464"/>
      <c r="X115" s="464"/>
      <c r="Y115" s="464"/>
      <c r="Z115" s="464"/>
      <c r="AA115" s="464"/>
      <c r="AB115" s="464"/>
      <c r="AC115" s="464"/>
      <c r="AD115" s="119"/>
      <c r="AE115" s="14"/>
      <c r="AF115" s="402"/>
      <c r="AG115" s="123"/>
      <c r="AH115" s="464"/>
      <c r="AI115" s="464"/>
      <c r="AJ115" s="464"/>
      <c r="AK115" s="464"/>
      <c r="AL115" s="464"/>
      <c r="AM115" s="464"/>
      <c r="AN115" s="464"/>
      <c r="AO115" s="464"/>
      <c r="AP115" s="464"/>
      <c r="AQ115" s="464"/>
      <c r="AR115" s="464"/>
      <c r="AS115" s="119"/>
      <c r="AT115" s="14"/>
      <c r="AU115" s="402"/>
      <c r="AV115" s="123"/>
      <c r="AW115" s="464"/>
      <c r="AX115" s="464"/>
      <c r="AY115" s="464"/>
      <c r="AZ115" s="464"/>
      <c r="BA115" s="464"/>
      <c r="BB115" s="464"/>
      <c r="BC115" s="464"/>
      <c r="BD115" s="464"/>
      <c r="BE115" s="464"/>
      <c r="BF115" s="464"/>
      <c r="BG115" s="464"/>
      <c r="BH115" s="119"/>
    </row>
    <row r="116" spans="1:60" ht="11.25" customHeight="1">
      <c r="A116" s="14"/>
      <c r="B116" s="402"/>
      <c r="C116" s="402"/>
      <c r="D116" s="449"/>
      <c r="E116" s="356"/>
      <c r="F116" s="356"/>
      <c r="G116" s="356"/>
      <c r="H116" s="356"/>
      <c r="I116" s="356"/>
      <c r="J116" s="356"/>
      <c r="K116" s="356"/>
      <c r="L116" s="356"/>
      <c r="M116" s="356"/>
      <c r="N116" s="450"/>
      <c r="O116" s="119"/>
      <c r="P116" s="14"/>
      <c r="Q116" s="402"/>
      <c r="R116" s="105"/>
      <c r="S116" s="464"/>
      <c r="T116" s="464"/>
      <c r="U116" s="464"/>
      <c r="V116" s="464"/>
      <c r="W116" s="464"/>
      <c r="X116" s="464"/>
      <c r="Y116" s="464"/>
      <c r="Z116" s="464"/>
      <c r="AA116" s="464"/>
      <c r="AB116" s="464"/>
      <c r="AC116" s="464"/>
      <c r="AD116" s="119"/>
      <c r="AE116" s="14"/>
      <c r="AF116" s="402"/>
      <c r="AG116" s="105"/>
      <c r="AH116" s="464"/>
      <c r="AI116" s="464"/>
      <c r="AJ116" s="464"/>
      <c r="AK116" s="464"/>
      <c r="AL116" s="464"/>
      <c r="AM116" s="464"/>
      <c r="AN116" s="464"/>
      <c r="AO116" s="464"/>
      <c r="AP116" s="464"/>
      <c r="AQ116" s="464"/>
      <c r="AR116" s="464"/>
      <c r="AS116" s="119"/>
      <c r="AT116" s="14"/>
      <c r="AU116" s="402"/>
      <c r="AV116" s="105"/>
      <c r="AW116" s="464"/>
      <c r="AX116" s="464"/>
      <c r="AY116" s="464"/>
      <c r="AZ116" s="464"/>
      <c r="BA116" s="464"/>
      <c r="BB116" s="464"/>
      <c r="BC116" s="464"/>
      <c r="BD116" s="464"/>
      <c r="BE116" s="464"/>
      <c r="BF116" s="464"/>
      <c r="BG116" s="464"/>
      <c r="BH116" s="119"/>
    </row>
    <row r="117" spans="1:60" ht="6.75" customHeight="1">
      <c r="A117" s="14"/>
      <c r="B117" s="403"/>
      <c r="C117" s="402"/>
      <c r="D117" s="449"/>
      <c r="E117" s="356"/>
      <c r="F117" s="356"/>
      <c r="G117" s="356"/>
      <c r="H117" s="356"/>
      <c r="I117" s="356"/>
      <c r="J117" s="356"/>
      <c r="K117" s="356"/>
      <c r="L117" s="356"/>
      <c r="M117" s="356"/>
      <c r="N117" s="450"/>
      <c r="O117" s="119"/>
      <c r="P117" s="14"/>
      <c r="Q117" s="403"/>
      <c r="R117" s="124"/>
      <c r="S117" s="464"/>
      <c r="T117" s="464"/>
      <c r="U117" s="464"/>
      <c r="V117" s="464"/>
      <c r="W117" s="464"/>
      <c r="X117" s="464"/>
      <c r="Y117" s="464"/>
      <c r="Z117" s="464"/>
      <c r="AA117" s="464"/>
      <c r="AB117" s="464"/>
      <c r="AC117" s="464"/>
      <c r="AD117" s="119"/>
      <c r="AE117" s="14"/>
      <c r="AF117" s="403"/>
      <c r="AG117" s="124"/>
      <c r="AH117" s="464"/>
      <c r="AI117" s="464"/>
      <c r="AJ117" s="464"/>
      <c r="AK117" s="464"/>
      <c r="AL117" s="464"/>
      <c r="AM117" s="464"/>
      <c r="AN117" s="464"/>
      <c r="AO117" s="464"/>
      <c r="AP117" s="464"/>
      <c r="AQ117" s="464"/>
      <c r="AR117" s="464"/>
      <c r="AS117" s="119"/>
      <c r="AT117" s="14"/>
      <c r="AU117" s="403"/>
      <c r="AV117" s="124"/>
      <c r="AW117" s="464"/>
      <c r="AX117" s="464"/>
      <c r="AY117" s="464"/>
      <c r="AZ117" s="464"/>
      <c r="BA117" s="464"/>
      <c r="BB117" s="464"/>
      <c r="BC117" s="464"/>
      <c r="BD117" s="464"/>
      <c r="BE117" s="464"/>
      <c r="BF117" s="464"/>
      <c r="BG117" s="464"/>
      <c r="BH117" s="119"/>
    </row>
    <row r="118" spans="1:60" ht="11.25" customHeight="1">
      <c r="A118" s="14"/>
      <c r="B118" s="109" t="str">
        <f>IF(Roster!$AN$1=0,"",Roster!$AN$1)</f>
        <v>COST</v>
      </c>
      <c r="C118" s="402"/>
      <c r="D118" s="449"/>
      <c r="E118" s="356"/>
      <c r="F118" s="356"/>
      <c r="G118" s="356"/>
      <c r="H118" s="356"/>
      <c r="I118" s="356"/>
      <c r="J118" s="356"/>
      <c r="K118" s="356"/>
      <c r="L118" s="356"/>
      <c r="M118" s="356"/>
      <c r="N118" s="450"/>
      <c r="O118" s="120"/>
      <c r="P118" s="14"/>
      <c r="Q118" s="109" t="str">
        <f>IF(Roster!$AN$1=0,"",Roster!$AN$1)</f>
        <v>COST</v>
      </c>
      <c r="R118" s="124"/>
      <c r="S118" s="464"/>
      <c r="T118" s="464"/>
      <c r="U118" s="464"/>
      <c r="V118" s="464"/>
      <c r="W118" s="464"/>
      <c r="X118" s="464"/>
      <c r="Y118" s="464"/>
      <c r="Z118" s="464"/>
      <c r="AA118" s="464"/>
      <c r="AB118" s="464"/>
      <c r="AC118" s="464"/>
      <c r="AD118" s="120"/>
      <c r="AE118" s="14"/>
      <c r="AF118" s="109" t="str">
        <f>IF(Roster!$AN$1=0,"",Roster!$AN$1)</f>
        <v>COST</v>
      </c>
      <c r="AG118" s="124"/>
      <c r="AH118" s="464"/>
      <c r="AI118" s="464"/>
      <c r="AJ118" s="464"/>
      <c r="AK118" s="464"/>
      <c r="AL118" s="464"/>
      <c r="AM118" s="464"/>
      <c r="AN118" s="464"/>
      <c r="AO118" s="464"/>
      <c r="AP118" s="464"/>
      <c r="AQ118" s="464"/>
      <c r="AR118" s="464"/>
      <c r="AS118" s="120"/>
      <c r="AT118" s="14"/>
      <c r="AU118" s="109" t="str">
        <f>IF(Roster!$AN$1=0,"",Roster!$AN$1)</f>
        <v>COST</v>
      </c>
      <c r="AV118" s="124"/>
      <c r="AW118" s="464"/>
      <c r="AX118" s="464"/>
      <c r="AY118" s="464"/>
      <c r="AZ118" s="464"/>
      <c r="BA118" s="464"/>
      <c r="BB118" s="464"/>
      <c r="BC118" s="464"/>
      <c r="BD118" s="464"/>
      <c r="BE118" s="464"/>
      <c r="BF118" s="464"/>
      <c r="BG118" s="464"/>
      <c r="BH118" s="120"/>
    </row>
    <row r="119" spans="1:60" ht="34.5" customHeight="1">
      <c r="A119" s="14"/>
      <c r="B119" s="122" t="str">
        <f>IF(Roster!$AN$17=0,"",Roster!$AN$17)</f>
        <v/>
      </c>
      <c r="C119" s="403"/>
      <c r="D119" s="451"/>
      <c r="E119" s="452"/>
      <c r="F119" s="452"/>
      <c r="G119" s="452"/>
      <c r="H119" s="452"/>
      <c r="I119" s="452"/>
      <c r="J119" s="452"/>
      <c r="K119" s="452"/>
      <c r="L119" s="452"/>
      <c r="M119" s="452"/>
      <c r="N119" s="453"/>
      <c r="O119" s="120"/>
      <c r="P119" s="14"/>
      <c r="Q119" s="122" t="str">
        <f>IF(Roster!$AN$18=0,"",Roster!$AN$18)</f>
        <v/>
      </c>
      <c r="R119" s="124"/>
      <c r="S119" s="464"/>
      <c r="T119" s="464"/>
      <c r="U119" s="464"/>
      <c r="V119" s="464"/>
      <c r="W119" s="464"/>
      <c r="X119" s="464"/>
      <c r="Y119" s="464"/>
      <c r="Z119" s="464"/>
      <c r="AA119" s="464"/>
      <c r="AB119" s="464"/>
      <c r="AC119" s="464"/>
      <c r="AD119" s="120"/>
      <c r="AE119" s="14"/>
      <c r="AF119" s="122" t="str">
        <f>IF(Roster!$AN$19=0,"",Roster!$AN$19)</f>
        <v/>
      </c>
      <c r="AG119" s="124"/>
      <c r="AH119" s="464"/>
      <c r="AI119" s="464"/>
      <c r="AJ119" s="464"/>
      <c r="AK119" s="464"/>
      <c r="AL119" s="464"/>
      <c r="AM119" s="464"/>
      <c r="AN119" s="464"/>
      <c r="AO119" s="464"/>
      <c r="AP119" s="464"/>
      <c r="AQ119" s="464"/>
      <c r="AR119" s="464"/>
      <c r="AS119" s="120"/>
      <c r="AT119" s="14"/>
      <c r="AU119" s="122" t="str">
        <f>IF(Roster!$AN$20=0,"",Roster!$AN$20)</f>
        <v/>
      </c>
      <c r="AV119" s="124"/>
      <c r="AW119" s="464"/>
      <c r="AX119" s="464"/>
      <c r="AY119" s="464"/>
      <c r="AZ119" s="464"/>
      <c r="BA119" s="464"/>
      <c r="BB119" s="464"/>
      <c r="BC119" s="464"/>
      <c r="BD119" s="464"/>
      <c r="BE119" s="464"/>
      <c r="BF119" s="464"/>
      <c r="BG119" s="464"/>
      <c r="BH119" s="120"/>
    </row>
    <row r="120" spans="1:60" ht="4.5" customHeight="1">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AV6:AV23"/>
    <mergeCell ref="AW6:BG12"/>
    <mergeCell ref="AW14:BG14"/>
    <mergeCell ref="AW15:BG23"/>
    <mergeCell ref="AV27:BG27"/>
    <mergeCell ref="AV28:BG28"/>
    <mergeCell ref="AU12:AU16"/>
    <mergeCell ref="AU18:AU21"/>
    <mergeCell ref="AU26:AU28"/>
    <mergeCell ref="AU98:AU100"/>
    <mergeCell ref="AV99:BG99"/>
    <mergeCell ref="AU108:AU112"/>
    <mergeCell ref="AU114:AU117"/>
    <mergeCell ref="AV100:BG102"/>
    <mergeCell ref="AW103:BG103"/>
    <mergeCell ref="AW104:BG111"/>
    <mergeCell ref="AW113:BG113"/>
    <mergeCell ref="AV77:BG77"/>
    <mergeCell ref="AW78:BG84"/>
    <mergeCell ref="AW114:BG119"/>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99:AR99"/>
    <mergeCell ref="AG75:AR75"/>
    <mergeCell ref="AG76:AR76"/>
    <mergeCell ref="AG77:AR77"/>
    <mergeCell ref="AH78:AR84"/>
    <mergeCell ref="AH86:AR86"/>
    <mergeCell ref="AH87:AR95"/>
    <mergeCell ref="AG78:AG95"/>
    <mergeCell ref="AG100:AR102"/>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c r="A2" s="125"/>
      <c r="B2" s="489"/>
      <c r="C2" s="126"/>
      <c r="D2" s="126"/>
      <c r="E2" s="126"/>
      <c r="F2" s="126"/>
      <c r="G2" s="126"/>
      <c r="H2" s="126"/>
      <c r="I2" s="126"/>
      <c r="J2" s="126"/>
      <c r="K2" s="126"/>
      <c r="L2" s="126"/>
      <c r="M2" s="126"/>
      <c r="N2" s="126"/>
      <c r="O2" s="127"/>
      <c r="P2" s="125"/>
      <c r="Q2" s="489" t="str">
        <f>IF(Roster!$A$2=0,"","#"&amp;Roster!$A$2)</f>
        <v>#1</v>
      </c>
      <c r="R2" s="126"/>
      <c r="S2" s="126"/>
      <c r="T2" s="126"/>
      <c r="U2" s="126"/>
      <c r="V2" s="126"/>
      <c r="W2" s="126"/>
      <c r="X2" s="126"/>
      <c r="Y2" s="126"/>
      <c r="Z2" s="126"/>
      <c r="AA2" s="126"/>
      <c r="AB2" s="126"/>
      <c r="AC2" s="126"/>
      <c r="AD2" s="127"/>
      <c r="AE2" s="125"/>
      <c r="AF2" s="489" t="str">
        <f>IF(Roster!$A$3=0,"","#"&amp;Roster!$A$3)</f>
        <v>#2</v>
      </c>
      <c r="AG2" s="126"/>
      <c r="AH2" s="126"/>
      <c r="AI2" s="126"/>
      <c r="AJ2" s="126"/>
      <c r="AK2" s="126"/>
      <c r="AL2" s="126"/>
      <c r="AM2" s="126"/>
      <c r="AN2" s="126"/>
      <c r="AO2" s="126"/>
      <c r="AP2" s="126"/>
      <c r="AQ2" s="126"/>
      <c r="AR2" s="126"/>
      <c r="AS2" s="127"/>
      <c r="AT2" s="125"/>
      <c r="AU2" s="489" t="str">
        <f>IF(Roster!$A$4=0,"","#"&amp;Roster!$A$4)</f>
        <v>#3</v>
      </c>
      <c r="AV2" s="126"/>
      <c r="AW2" s="126"/>
      <c r="AX2" s="126"/>
      <c r="AY2" s="126"/>
      <c r="AZ2" s="126"/>
      <c r="BA2" s="126"/>
      <c r="BB2" s="126"/>
      <c r="BC2" s="126"/>
      <c r="BD2" s="126"/>
      <c r="BE2" s="126"/>
      <c r="BF2" s="126"/>
      <c r="BG2" s="126"/>
      <c r="BH2" s="127"/>
    </row>
    <row r="3" spans="1:60" ht="15" customHeight="1">
      <c r="A3" s="125"/>
      <c r="B3" s="490"/>
      <c r="C3" s="472" t="str">
        <f>IF(Roster!$J$23=0,Roster!$C$23,Roster!$J$23)</f>
        <v>Infamous Blade of Nagaroth</v>
      </c>
      <c r="D3" s="394"/>
      <c r="E3" s="394"/>
      <c r="F3" s="394"/>
      <c r="G3" s="394"/>
      <c r="H3" s="394"/>
      <c r="I3" s="394"/>
      <c r="J3" s="394"/>
      <c r="K3" s="394"/>
      <c r="L3" s="394"/>
      <c r="M3" s="394"/>
      <c r="N3" s="395"/>
      <c r="O3" s="128"/>
      <c r="P3" s="125"/>
      <c r="Q3" s="490"/>
      <c r="R3" s="472" t="str">
        <f>IF(Roster!$B$2=0,"",Roster!$B$2)</f>
        <v>Soul Edge</v>
      </c>
      <c r="S3" s="394"/>
      <c r="T3" s="394"/>
      <c r="U3" s="394"/>
      <c r="V3" s="394"/>
      <c r="W3" s="394"/>
      <c r="X3" s="394"/>
      <c r="Y3" s="394"/>
      <c r="Z3" s="394"/>
      <c r="AA3" s="394"/>
      <c r="AB3" s="394"/>
      <c r="AC3" s="395"/>
      <c r="AD3" s="128"/>
      <c r="AE3" s="125"/>
      <c r="AF3" s="490"/>
      <c r="AG3" s="472" t="str">
        <f>IF(Roster!$B$3=0,"",Roster!$B$3)</f>
        <v>Excalibur</v>
      </c>
      <c r="AH3" s="394"/>
      <c r="AI3" s="394"/>
      <c r="AJ3" s="394"/>
      <c r="AK3" s="394"/>
      <c r="AL3" s="394"/>
      <c r="AM3" s="394"/>
      <c r="AN3" s="394"/>
      <c r="AO3" s="394"/>
      <c r="AP3" s="394"/>
      <c r="AQ3" s="394"/>
      <c r="AR3" s="395"/>
      <c r="AS3" s="128"/>
      <c r="AT3" s="125"/>
      <c r="AU3" s="490"/>
      <c r="AV3" s="472" t="str">
        <f>IF(Roster!$B$4=0,"",Roster!$B$4)</f>
        <v>Longclaw</v>
      </c>
      <c r="AW3" s="394"/>
      <c r="AX3" s="394"/>
      <c r="AY3" s="394"/>
      <c r="AZ3" s="394"/>
      <c r="BA3" s="394"/>
      <c r="BB3" s="394"/>
      <c r="BC3" s="394"/>
      <c r="BD3" s="394"/>
      <c r="BE3" s="394"/>
      <c r="BF3" s="394"/>
      <c r="BG3" s="395"/>
      <c r="BH3" s="128"/>
    </row>
    <row r="4" spans="1:60" ht="11.25" customHeight="1">
      <c r="A4" s="125"/>
      <c r="B4" s="490"/>
      <c r="C4" s="473" t="str">
        <f>IF(Roster!$AI$29="SPONSORS",Roster!$J$22,Roster!$J$22&amp;"; Sponsor: "&amp;Roster!$AI$29)</f>
        <v>Dark Elf</v>
      </c>
      <c r="D4" s="394"/>
      <c r="E4" s="394"/>
      <c r="F4" s="394"/>
      <c r="G4" s="394"/>
      <c r="H4" s="394"/>
      <c r="I4" s="394"/>
      <c r="J4" s="394"/>
      <c r="K4" s="394"/>
      <c r="L4" s="394"/>
      <c r="M4" s="394"/>
      <c r="N4" s="395"/>
      <c r="O4" s="129"/>
      <c r="P4" s="125"/>
      <c r="Q4" s="491"/>
      <c r="R4" s="473" t="str">
        <f>IF(Roster!$C$2=0,"",Roster!$C$2)</f>
        <v>Runner</v>
      </c>
      <c r="S4" s="394"/>
      <c r="T4" s="394"/>
      <c r="U4" s="394"/>
      <c r="V4" s="394"/>
      <c r="W4" s="394"/>
      <c r="X4" s="394"/>
      <c r="Y4" s="394"/>
      <c r="Z4" s="394"/>
      <c r="AA4" s="394"/>
      <c r="AB4" s="394"/>
      <c r="AC4" s="395"/>
      <c r="AD4" s="129"/>
      <c r="AE4" s="125"/>
      <c r="AF4" s="491"/>
      <c r="AG4" s="473" t="str">
        <f>IF(Roster!$C$3=0,"",Roster!$C$3)</f>
        <v>Blitzer</v>
      </c>
      <c r="AH4" s="394"/>
      <c r="AI4" s="394"/>
      <c r="AJ4" s="394"/>
      <c r="AK4" s="394"/>
      <c r="AL4" s="394"/>
      <c r="AM4" s="394"/>
      <c r="AN4" s="394"/>
      <c r="AO4" s="394"/>
      <c r="AP4" s="394"/>
      <c r="AQ4" s="394"/>
      <c r="AR4" s="395"/>
      <c r="AS4" s="129"/>
      <c r="AT4" s="125"/>
      <c r="AU4" s="491"/>
      <c r="AV4" s="473" t="str">
        <f>IF(Roster!$C$4=0,"",Roster!$C$4)</f>
        <v>Blitzer</v>
      </c>
      <c r="AW4" s="394"/>
      <c r="AX4" s="394"/>
      <c r="AY4" s="394"/>
      <c r="AZ4" s="394"/>
      <c r="BA4" s="394"/>
      <c r="BB4" s="394"/>
      <c r="BC4" s="394"/>
      <c r="BD4" s="394"/>
      <c r="BE4" s="394"/>
      <c r="BF4" s="394"/>
      <c r="BG4" s="395"/>
      <c r="BH4" s="129"/>
    </row>
    <row r="5" spans="1:60" ht="11.25" customHeight="1">
      <c r="A5" s="125"/>
      <c r="B5" s="491"/>
      <c r="C5" s="130"/>
      <c r="D5" s="473" t="str">
        <f>IF(Roster!$C$30=0,"",Roster!$C$30)</f>
        <v>TEAM VALUE</v>
      </c>
      <c r="E5" s="394"/>
      <c r="F5" s="395"/>
      <c r="G5" s="131"/>
      <c r="H5" s="473" t="str">
        <f>IF(Roster!$R$21=0,"",Roster!$R$21)</f>
        <v>DEDICATED FANS</v>
      </c>
      <c r="I5" s="394"/>
      <c r="J5" s="395"/>
      <c r="K5" s="131"/>
      <c r="L5" s="473" t="str">
        <f>IF(Roster!$R$22=0,"",Roster!$R$22)</f>
        <v>REROLLS</v>
      </c>
      <c r="M5" s="394"/>
      <c r="N5" s="395"/>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c r="A6" s="125"/>
      <c r="B6" s="494" t="str">
        <f>IF(Roster!$J$21=0,"",Roster!$J$21)</f>
        <v>Karlsteiner</v>
      </c>
      <c r="C6" s="134"/>
      <c r="D6" s="493">
        <f>Roster!$J$30</f>
        <v>990</v>
      </c>
      <c r="E6" s="487"/>
      <c r="F6" s="488"/>
      <c r="G6" s="131"/>
      <c r="H6" s="493" t="str">
        <f>IF(Roster!$W$21=0,"",Roster!$W$21)</f>
        <v/>
      </c>
      <c r="I6" s="487"/>
      <c r="J6" s="488"/>
      <c r="K6" s="131"/>
      <c r="L6" s="493">
        <f>Roster!$W$22</f>
        <v>3</v>
      </c>
      <c r="M6" s="487"/>
      <c r="N6" s="488"/>
      <c r="O6" s="128"/>
      <c r="P6" s="125"/>
      <c r="Q6" s="135">
        <f>IF(Roster!$J$2=0,"",Roster!$J$2)</f>
        <v>7</v>
      </c>
      <c r="R6" s="133"/>
      <c r="S6" s="474"/>
      <c r="T6" s="307"/>
      <c r="U6" s="307"/>
      <c r="V6" s="307"/>
      <c r="W6" s="307"/>
      <c r="X6" s="307"/>
      <c r="Y6" s="307"/>
      <c r="Z6" s="307"/>
      <c r="AA6" s="307"/>
      <c r="AB6" s="307"/>
      <c r="AC6" s="308"/>
      <c r="AD6" s="128"/>
      <c r="AE6" s="125"/>
      <c r="AF6" s="135">
        <f>IF(Roster!$J$3=0,"",Roster!$J$3)</f>
        <v>7</v>
      </c>
      <c r="AG6" s="133"/>
      <c r="AH6" s="474"/>
      <c r="AI6" s="307"/>
      <c r="AJ6" s="307"/>
      <c r="AK6" s="307"/>
      <c r="AL6" s="307"/>
      <c r="AM6" s="307"/>
      <c r="AN6" s="307"/>
      <c r="AO6" s="307"/>
      <c r="AP6" s="307"/>
      <c r="AQ6" s="307"/>
      <c r="AR6" s="308"/>
      <c r="AS6" s="128"/>
      <c r="AT6" s="125"/>
      <c r="AU6" s="135">
        <f>IF(Roster!$J$4=0,"",Roster!$J$4)</f>
        <v>7</v>
      </c>
      <c r="AV6" s="133"/>
      <c r="AW6" s="474"/>
      <c r="AX6" s="307"/>
      <c r="AY6" s="307"/>
      <c r="AZ6" s="307"/>
      <c r="BA6" s="307"/>
      <c r="BB6" s="307"/>
      <c r="BC6" s="307"/>
      <c r="BD6" s="307"/>
      <c r="BE6" s="307"/>
      <c r="BF6" s="307"/>
      <c r="BG6" s="308"/>
      <c r="BH6" s="128"/>
    </row>
    <row r="7" spans="1:60" ht="11.25" customHeight="1">
      <c r="A7" s="125"/>
      <c r="B7" s="490"/>
      <c r="C7" s="133"/>
      <c r="D7" s="473" t="str">
        <f>IF(Roster!$AD$21=0,"",Roster!$AD$21)</f>
        <v>APOTHECARY</v>
      </c>
      <c r="E7" s="394"/>
      <c r="F7" s="395"/>
      <c r="G7" s="131"/>
      <c r="H7" s="473" t="str">
        <f>IF(Roster!$R$23=0,"",Roster!$R$23)</f>
        <v>CHEERLEADERS</v>
      </c>
      <c r="I7" s="394"/>
      <c r="J7" s="395"/>
      <c r="K7" s="131"/>
      <c r="L7" s="473" t="str">
        <f>IF(Roster!$R$24=0,"",Roster!$R$24)</f>
        <v>ASSISTANT COACHES</v>
      </c>
      <c r="M7" s="394"/>
      <c r="N7" s="395"/>
      <c r="O7" s="128"/>
      <c r="P7" s="125"/>
      <c r="Q7" s="132" t="str">
        <f>IF(Roster!$K$1=0,"",Roster!$K$1)</f>
        <v>ST</v>
      </c>
      <c r="R7" s="133"/>
      <c r="S7" s="475"/>
      <c r="T7" s="356"/>
      <c r="U7" s="356"/>
      <c r="V7" s="356"/>
      <c r="W7" s="356"/>
      <c r="X7" s="356"/>
      <c r="Y7" s="356"/>
      <c r="Z7" s="356"/>
      <c r="AA7" s="356"/>
      <c r="AB7" s="356"/>
      <c r="AC7" s="476"/>
      <c r="AD7" s="128"/>
      <c r="AE7" s="125"/>
      <c r="AF7" s="132" t="str">
        <f>IF(Roster!$K$1=0,"",Roster!$K$1)</f>
        <v>ST</v>
      </c>
      <c r="AG7" s="133"/>
      <c r="AH7" s="475"/>
      <c r="AI7" s="356"/>
      <c r="AJ7" s="356"/>
      <c r="AK7" s="356"/>
      <c r="AL7" s="356"/>
      <c r="AM7" s="356"/>
      <c r="AN7" s="356"/>
      <c r="AO7" s="356"/>
      <c r="AP7" s="356"/>
      <c r="AQ7" s="356"/>
      <c r="AR7" s="476"/>
      <c r="AS7" s="128"/>
      <c r="AT7" s="125"/>
      <c r="AU7" s="132" t="str">
        <f>IF(Roster!$K$1=0,"",Roster!$K$1)</f>
        <v>ST</v>
      </c>
      <c r="AV7" s="133"/>
      <c r="AW7" s="475"/>
      <c r="AX7" s="356"/>
      <c r="AY7" s="356"/>
      <c r="AZ7" s="356"/>
      <c r="BA7" s="356"/>
      <c r="BB7" s="356"/>
      <c r="BC7" s="356"/>
      <c r="BD7" s="356"/>
      <c r="BE7" s="356"/>
      <c r="BF7" s="356"/>
      <c r="BG7" s="476"/>
      <c r="BH7" s="128"/>
    </row>
    <row r="8" spans="1:60" ht="37.5" customHeight="1">
      <c r="A8" s="125"/>
      <c r="B8" s="490"/>
      <c r="C8" s="136"/>
      <c r="D8" s="493">
        <f>Roster!$AI$21</f>
        <v>0</v>
      </c>
      <c r="E8" s="487"/>
      <c r="F8" s="488"/>
      <c r="G8" s="131"/>
      <c r="H8" s="493">
        <f>Roster!$W$23</f>
        <v>0</v>
      </c>
      <c r="I8" s="487"/>
      <c r="J8" s="488"/>
      <c r="K8" s="131"/>
      <c r="L8" s="493">
        <f>Roster!$W$24</f>
        <v>0</v>
      </c>
      <c r="M8" s="487"/>
      <c r="N8" s="488"/>
      <c r="O8" s="128"/>
      <c r="P8" s="125"/>
      <c r="Q8" s="135">
        <f>IF(Roster!$K$2=0,"",Roster!$K$2)</f>
        <v>3</v>
      </c>
      <c r="R8" s="133"/>
      <c r="S8" s="475"/>
      <c r="T8" s="356"/>
      <c r="U8" s="356"/>
      <c r="V8" s="356"/>
      <c r="W8" s="356"/>
      <c r="X8" s="356"/>
      <c r="Y8" s="356"/>
      <c r="Z8" s="356"/>
      <c r="AA8" s="356"/>
      <c r="AB8" s="356"/>
      <c r="AC8" s="476"/>
      <c r="AD8" s="128"/>
      <c r="AE8" s="125"/>
      <c r="AF8" s="135">
        <f>IF(Roster!$K$3=0,"",Roster!$K$3)</f>
        <v>3</v>
      </c>
      <c r="AG8" s="133"/>
      <c r="AH8" s="475"/>
      <c r="AI8" s="356"/>
      <c r="AJ8" s="356"/>
      <c r="AK8" s="356"/>
      <c r="AL8" s="356"/>
      <c r="AM8" s="356"/>
      <c r="AN8" s="356"/>
      <c r="AO8" s="356"/>
      <c r="AP8" s="356"/>
      <c r="AQ8" s="356"/>
      <c r="AR8" s="476"/>
      <c r="AS8" s="128"/>
      <c r="AT8" s="125"/>
      <c r="AU8" s="135">
        <f>IF(Roster!$K$4=0,"",Roster!$K$4)</f>
        <v>3</v>
      </c>
      <c r="AV8" s="133"/>
      <c r="AW8" s="475"/>
      <c r="AX8" s="356"/>
      <c r="AY8" s="356"/>
      <c r="AZ8" s="356"/>
      <c r="BA8" s="356"/>
      <c r="BB8" s="356"/>
      <c r="BC8" s="356"/>
      <c r="BD8" s="356"/>
      <c r="BE8" s="356"/>
      <c r="BF8" s="356"/>
      <c r="BG8" s="476"/>
      <c r="BH8" s="128"/>
    </row>
    <row r="9" spans="1:60" ht="11.25" customHeight="1">
      <c r="A9" s="125"/>
      <c r="B9" s="490"/>
      <c r="C9" s="130"/>
      <c r="D9" s="473" t="str">
        <f>IF(Roster!$R$25=0,"",Roster!$R$25)</f>
        <v>BLOODWEISER KEGS</v>
      </c>
      <c r="E9" s="394"/>
      <c r="F9" s="395"/>
      <c r="G9" s="131"/>
      <c r="H9" s="473" t="str">
        <f>IF(Roster!$R$26=0,"",Roster!$R$26)</f>
        <v>BRIBES</v>
      </c>
      <c r="I9" s="394"/>
      <c r="J9" s="395"/>
      <c r="K9" s="131"/>
      <c r="L9" s="473" t="str">
        <f>IF(Roster!$R$27=0,"",Roster!$R$27)</f>
        <v>MASTER CHEF</v>
      </c>
      <c r="M9" s="394"/>
      <c r="N9" s="395"/>
      <c r="O9" s="128"/>
      <c r="P9" s="125"/>
      <c r="Q9" s="132" t="str">
        <f>IF(Roster!$L$1=0,"",Roster!$L$1)</f>
        <v>AG</v>
      </c>
      <c r="R9" s="133"/>
      <c r="S9" s="475"/>
      <c r="T9" s="356"/>
      <c r="U9" s="356"/>
      <c r="V9" s="356"/>
      <c r="W9" s="356"/>
      <c r="X9" s="356"/>
      <c r="Y9" s="356"/>
      <c r="Z9" s="356"/>
      <c r="AA9" s="356"/>
      <c r="AB9" s="356"/>
      <c r="AC9" s="476"/>
      <c r="AD9" s="128"/>
      <c r="AE9" s="125"/>
      <c r="AF9" s="132" t="str">
        <f>IF(Roster!$L$1=0,"",Roster!$L$1)</f>
        <v>AG</v>
      </c>
      <c r="AG9" s="133"/>
      <c r="AH9" s="475"/>
      <c r="AI9" s="356"/>
      <c r="AJ9" s="356"/>
      <c r="AK9" s="356"/>
      <c r="AL9" s="356"/>
      <c r="AM9" s="356"/>
      <c r="AN9" s="356"/>
      <c r="AO9" s="356"/>
      <c r="AP9" s="356"/>
      <c r="AQ9" s="356"/>
      <c r="AR9" s="476"/>
      <c r="AS9" s="128"/>
      <c r="AT9" s="125"/>
      <c r="AU9" s="132" t="str">
        <f>IF(Roster!$L$1=0,"",Roster!$L$1)</f>
        <v>AG</v>
      </c>
      <c r="AV9" s="133"/>
      <c r="AW9" s="475"/>
      <c r="AX9" s="356"/>
      <c r="AY9" s="356"/>
      <c r="AZ9" s="356"/>
      <c r="BA9" s="356"/>
      <c r="BB9" s="356"/>
      <c r="BC9" s="356"/>
      <c r="BD9" s="356"/>
      <c r="BE9" s="356"/>
      <c r="BF9" s="356"/>
      <c r="BG9" s="476"/>
      <c r="BH9" s="128"/>
    </row>
    <row r="10" spans="1:60" ht="37.5" customHeight="1">
      <c r="A10" s="125"/>
      <c r="B10" s="490"/>
      <c r="C10" s="136"/>
      <c r="D10" s="493">
        <f>Roster!$W$25</f>
        <v>0</v>
      </c>
      <c r="E10" s="487"/>
      <c r="F10" s="488"/>
      <c r="G10" s="131"/>
      <c r="H10" s="493">
        <f>Roster!$W$26</f>
        <v>0</v>
      </c>
      <c r="I10" s="487"/>
      <c r="J10" s="488"/>
      <c r="K10" s="131"/>
      <c r="L10" s="493">
        <f>Roster!$W$27</f>
        <v>0</v>
      </c>
      <c r="M10" s="487"/>
      <c r="N10" s="488"/>
      <c r="O10" s="128"/>
      <c r="P10" s="125"/>
      <c r="Q10" s="135" t="str">
        <f>IF(Roster!$L$2=0&amp;"+","",Roster!$L$2)</f>
        <v>2+</v>
      </c>
      <c r="R10" s="133"/>
      <c r="S10" s="475"/>
      <c r="T10" s="356"/>
      <c r="U10" s="356"/>
      <c r="V10" s="356"/>
      <c r="W10" s="356"/>
      <c r="X10" s="356"/>
      <c r="Y10" s="356"/>
      <c r="Z10" s="356"/>
      <c r="AA10" s="356"/>
      <c r="AB10" s="356"/>
      <c r="AC10" s="476"/>
      <c r="AD10" s="128"/>
      <c r="AE10" s="125"/>
      <c r="AF10" s="135" t="str">
        <f>IF(Roster!$L$3=0&amp;"+","",Roster!$L$3)</f>
        <v>2+</v>
      </c>
      <c r="AG10" s="133"/>
      <c r="AH10" s="475"/>
      <c r="AI10" s="356"/>
      <c r="AJ10" s="356"/>
      <c r="AK10" s="356"/>
      <c r="AL10" s="356"/>
      <c r="AM10" s="356"/>
      <c r="AN10" s="356"/>
      <c r="AO10" s="356"/>
      <c r="AP10" s="356"/>
      <c r="AQ10" s="356"/>
      <c r="AR10" s="476"/>
      <c r="AS10" s="128"/>
      <c r="AT10" s="125"/>
      <c r="AU10" s="135" t="str">
        <f>IF(Roster!$L$4=0&amp;"+","",Roster!$L$4)</f>
        <v>2+</v>
      </c>
      <c r="AV10" s="133"/>
      <c r="AW10" s="475"/>
      <c r="AX10" s="356"/>
      <c r="AY10" s="356"/>
      <c r="AZ10" s="356"/>
      <c r="BA10" s="356"/>
      <c r="BB10" s="356"/>
      <c r="BC10" s="356"/>
      <c r="BD10" s="356"/>
      <c r="BE10" s="356"/>
      <c r="BF10" s="356"/>
      <c r="BG10" s="476"/>
      <c r="BH10" s="128"/>
    </row>
    <row r="11" spans="1:60" ht="11.25" customHeight="1">
      <c r="A11" s="125"/>
      <c r="B11" s="490"/>
      <c r="C11" s="133"/>
      <c r="D11" s="485" t="str">
        <f>IF(Roster!$R$28=0,"",Roster!$R$28)</f>
        <v>RIOTOUS ROOKIES</v>
      </c>
      <c r="E11" s="394"/>
      <c r="F11" s="395"/>
      <c r="G11" s="133"/>
      <c r="H11" s="485" t="str">
        <f>IF(Roster!$AD$23=0,"",Roster!$AD$23)</f>
        <v>WIZARDS</v>
      </c>
      <c r="I11" s="394"/>
      <c r="J11" s="395"/>
      <c r="K11" s="133"/>
      <c r="L11" s="473" t="str">
        <f>IF(Roster!$AD$22=0,"",Roster!$AD$22)</f>
        <v>WEATHER MAGE</v>
      </c>
      <c r="M11" s="394"/>
      <c r="N11" s="395"/>
      <c r="O11" s="137"/>
      <c r="P11" s="125"/>
      <c r="Q11" s="132" t="str">
        <f>IF(Roster!$M$1=0,"",Roster!$M$1)</f>
        <v>PA</v>
      </c>
      <c r="R11" s="133"/>
      <c r="S11" s="475"/>
      <c r="T11" s="356"/>
      <c r="U11" s="356"/>
      <c r="V11" s="356"/>
      <c r="W11" s="356"/>
      <c r="X11" s="356"/>
      <c r="Y11" s="356"/>
      <c r="Z11" s="356"/>
      <c r="AA11" s="356"/>
      <c r="AB11" s="356"/>
      <c r="AC11" s="476"/>
      <c r="AD11" s="137"/>
      <c r="AE11" s="125"/>
      <c r="AF11" s="132" t="str">
        <f>IF(Roster!$M$1=0,"",Roster!$M$1)</f>
        <v>PA</v>
      </c>
      <c r="AG11" s="133"/>
      <c r="AH11" s="475"/>
      <c r="AI11" s="356"/>
      <c r="AJ11" s="356"/>
      <c r="AK11" s="356"/>
      <c r="AL11" s="356"/>
      <c r="AM11" s="356"/>
      <c r="AN11" s="356"/>
      <c r="AO11" s="356"/>
      <c r="AP11" s="356"/>
      <c r="AQ11" s="356"/>
      <c r="AR11" s="476"/>
      <c r="AS11" s="137"/>
      <c r="AT11" s="125"/>
      <c r="AU11" s="132" t="str">
        <f>IF(Roster!$M$1=0,"",Roster!$M$1)</f>
        <v>PA</v>
      </c>
      <c r="AV11" s="133"/>
      <c r="AW11" s="475"/>
      <c r="AX11" s="356"/>
      <c r="AY11" s="356"/>
      <c r="AZ11" s="356"/>
      <c r="BA11" s="356"/>
      <c r="BB11" s="356"/>
      <c r="BC11" s="356"/>
      <c r="BD11" s="356"/>
      <c r="BE11" s="356"/>
      <c r="BF11" s="356"/>
      <c r="BG11" s="476"/>
      <c r="BH11" s="137"/>
    </row>
    <row r="12" spans="1:60" ht="6" customHeight="1">
      <c r="A12" s="125"/>
      <c r="B12" s="490"/>
      <c r="C12" s="134"/>
      <c r="D12" s="492">
        <f>Roster!$W$28</f>
        <v>0</v>
      </c>
      <c r="E12" s="307"/>
      <c r="F12" s="308"/>
      <c r="G12" s="138"/>
      <c r="H12" s="492">
        <f>Roster!$AI$23</f>
        <v>0</v>
      </c>
      <c r="I12" s="307"/>
      <c r="J12" s="308"/>
      <c r="K12" s="138"/>
      <c r="L12" s="492">
        <f>Roster!$AI$22</f>
        <v>0</v>
      </c>
      <c r="M12" s="307"/>
      <c r="N12" s="308"/>
      <c r="O12" s="139"/>
      <c r="P12" s="125"/>
      <c r="Q12" s="469" t="str">
        <f>IF(Roster!$M$2=0&amp;"+","",Roster!$M$2)</f>
        <v>3+</v>
      </c>
      <c r="R12" s="133"/>
      <c r="S12" s="477"/>
      <c r="T12" s="478"/>
      <c r="U12" s="478"/>
      <c r="V12" s="478"/>
      <c r="W12" s="478"/>
      <c r="X12" s="478"/>
      <c r="Y12" s="478"/>
      <c r="Z12" s="478"/>
      <c r="AA12" s="478"/>
      <c r="AB12" s="478"/>
      <c r="AC12" s="479"/>
      <c r="AD12" s="139"/>
      <c r="AE12" s="125"/>
      <c r="AF12" s="469" t="str">
        <f>IF(Roster!$M$3=0&amp;"+","",Roster!$M$3)</f>
        <v>4+</v>
      </c>
      <c r="AG12" s="133"/>
      <c r="AH12" s="477"/>
      <c r="AI12" s="478"/>
      <c r="AJ12" s="478"/>
      <c r="AK12" s="478"/>
      <c r="AL12" s="478"/>
      <c r="AM12" s="478"/>
      <c r="AN12" s="478"/>
      <c r="AO12" s="478"/>
      <c r="AP12" s="478"/>
      <c r="AQ12" s="478"/>
      <c r="AR12" s="479"/>
      <c r="AS12" s="139"/>
      <c r="AT12" s="125"/>
      <c r="AU12" s="469" t="str">
        <f>IF(Roster!$M$4=0&amp;"+","",Roster!$M$4)</f>
        <v>4+</v>
      </c>
      <c r="AV12" s="133"/>
      <c r="AW12" s="477"/>
      <c r="AX12" s="478"/>
      <c r="AY12" s="478"/>
      <c r="AZ12" s="478"/>
      <c r="BA12" s="478"/>
      <c r="BB12" s="478"/>
      <c r="BC12" s="478"/>
      <c r="BD12" s="478"/>
      <c r="BE12" s="478"/>
      <c r="BF12" s="478"/>
      <c r="BG12" s="479"/>
      <c r="BH12" s="139"/>
    </row>
    <row r="13" spans="1:60" ht="4.5" customHeight="1">
      <c r="A13" s="125"/>
      <c r="B13" s="490"/>
      <c r="C13" s="134"/>
      <c r="D13" s="475"/>
      <c r="E13" s="356"/>
      <c r="F13" s="476"/>
      <c r="G13" s="138"/>
      <c r="H13" s="475"/>
      <c r="I13" s="356"/>
      <c r="J13" s="476"/>
      <c r="K13" s="138"/>
      <c r="L13" s="475"/>
      <c r="M13" s="356"/>
      <c r="N13" s="476"/>
      <c r="O13" s="139"/>
      <c r="P13" s="125"/>
      <c r="Q13" s="470"/>
      <c r="R13" s="131"/>
      <c r="S13" s="125"/>
      <c r="T13" s="138"/>
      <c r="U13" s="125"/>
      <c r="V13" s="138"/>
      <c r="W13" s="125"/>
      <c r="X13" s="138"/>
      <c r="Y13" s="125"/>
      <c r="Z13" s="138"/>
      <c r="AA13" s="125"/>
      <c r="AB13" s="138"/>
      <c r="AC13" s="125"/>
      <c r="AD13" s="139"/>
      <c r="AE13" s="125"/>
      <c r="AF13" s="470"/>
      <c r="AG13" s="131"/>
      <c r="AH13" s="125"/>
      <c r="AI13" s="138"/>
      <c r="AJ13" s="125"/>
      <c r="AK13" s="138"/>
      <c r="AL13" s="125"/>
      <c r="AM13" s="138"/>
      <c r="AN13" s="125"/>
      <c r="AO13" s="138"/>
      <c r="AP13" s="125"/>
      <c r="AQ13" s="138"/>
      <c r="AR13" s="125"/>
      <c r="AS13" s="139"/>
      <c r="AT13" s="125"/>
      <c r="AU13" s="470"/>
      <c r="AV13" s="131"/>
      <c r="AW13" s="125"/>
      <c r="AX13" s="138"/>
      <c r="AY13" s="125"/>
      <c r="AZ13" s="138"/>
      <c r="BA13" s="125"/>
      <c r="BB13" s="138"/>
      <c r="BC13" s="125"/>
      <c r="BD13" s="138"/>
      <c r="BE13" s="125"/>
      <c r="BF13" s="138"/>
      <c r="BG13" s="125"/>
      <c r="BH13" s="139"/>
    </row>
    <row r="14" spans="1:60" ht="11.25" customHeight="1">
      <c r="A14" s="125"/>
      <c r="B14" s="490"/>
      <c r="C14" s="134"/>
      <c r="D14" s="475"/>
      <c r="E14" s="356"/>
      <c r="F14" s="476"/>
      <c r="G14" s="138"/>
      <c r="H14" s="475"/>
      <c r="I14" s="356"/>
      <c r="J14" s="476"/>
      <c r="K14" s="138"/>
      <c r="L14" s="475"/>
      <c r="M14" s="356"/>
      <c r="N14" s="476"/>
      <c r="O14" s="139"/>
      <c r="P14" s="125"/>
      <c r="Q14" s="470"/>
      <c r="R14" s="131"/>
      <c r="S14" s="480" t="str">
        <f>IF(Roster!$J$24="Italiano","ABILITÀ &amp; TRATTI",(IF(Roster!$J$24="Español","HABILIDADES Y RASGOS","SKILLS &amp; TRAITS")))</f>
        <v>SKILLS &amp; TRAITS</v>
      </c>
      <c r="T14" s="481"/>
      <c r="U14" s="481"/>
      <c r="V14" s="481"/>
      <c r="W14" s="481"/>
      <c r="X14" s="481"/>
      <c r="Y14" s="481"/>
      <c r="Z14" s="481"/>
      <c r="AA14" s="481"/>
      <c r="AB14" s="481"/>
      <c r="AC14" s="482"/>
      <c r="AD14" s="139"/>
      <c r="AE14" s="125"/>
      <c r="AF14" s="470"/>
      <c r="AG14" s="131"/>
      <c r="AH14" s="480" t="str">
        <f>IF(Roster!$J$24="Italiano","ABILITÀ &amp; TRATTI",(IF(Roster!$J$24="Español","HABILIDADES Y RASGOS","SKILLS &amp; TRAITS")))</f>
        <v>SKILLS &amp; TRAITS</v>
      </c>
      <c r="AI14" s="481"/>
      <c r="AJ14" s="481"/>
      <c r="AK14" s="481"/>
      <c r="AL14" s="481"/>
      <c r="AM14" s="481"/>
      <c r="AN14" s="481"/>
      <c r="AO14" s="481"/>
      <c r="AP14" s="481"/>
      <c r="AQ14" s="481"/>
      <c r="AR14" s="482"/>
      <c r="AS14" s="139"/>
      <c r="AT14" s="125"/>
      <c r="AU14" s="470"/>
      <c r="AV14" s="131"/>
      <c r="AW14" s="480" t="str">
        <f>IF(Roster!$J$24="Italiano","ABILITÀ &amp; TRATTI",(IF(Roster!$J$24="Español","HABILIDADES Y RASGOS","SKILLS &amp; TRAITS")))</f>
        <v>SKILLS &amp; TRAITS</v>
      </c>
      <c r="AX14" s="481"/>
      <c r="AY14" s="481"/>
      <c r="AZ14" s="481"/>
      <c r="BA14" s="481"/>
      <c r="BB14" s="481"/>
      <c r="BC14" s="481"/>
      <c r="BD14" s="481"/>
      <c r="BE14" s="481"/>
      <c r="BF14" s="481"/>
      <c r="BG14" s="482"/>
      <c r="BH14" s="139"/>
    </row>
    <row r="15" spans="1:60" ht="15" customHeight="1">
      <c r="A15" s="125"/>
      <c r="B15" s="490"/>
      <c r="C15" s="134"/>
      <c r="D15" s="475"/>
      <c r="E15" s="356"/>
      <c r="F15" s="476"/>
      <c r="G15" s="134"/>
      <c r="H15" s="475"/>
      <c r="I15" s="356"/>
      <c r="J15" s="476"/>
      <c r="K15" s="134"/>
      <c r="L15" s="475"/>
      <c r="M15" s="356"/>
      <c r="N15" s="476"/>
      <c r="O15" s="139"/>
      <c r="P15" s="125"/>
      <c r="Q15" s="470"/>
      <c r="R15" s="134"/>
      <c r="S15" s="483" t="str">
        <f>IF(Roster!$O$2=0,"",Roster!$O$2&amp;Roster!BF2)</f>
        <v>Dump Off, Pass</v>
      </c>
      <c r="T15" s="447"/>
      <c r="U15" s="447"/>
      <c r="V15" s="447"/>
      <c r="W15" s="447"/>
      <c r="X15" s="447"/>
      <c r="Y15" s="447"/>
      <c r="Z15" s="447"/>
      <c r="AA15" s="447"/>
      <c r="AB15" s="447"/>
      <c r="AC15" s="484"/>
      <c r="AD15" s="139"/>
      <c r="AE15" s="125"/>
      <c r="AF15" s="470"/>
      <c r="AG15" s="134"/>
      <c r="AH15" s="483" t="str">
        <f>IF(Roster!$O$3=0,"",Roster!$O$3&amp;Roster!BF3)</f>
        <v>Block, Dodge</v>
      </c>
      <c r="AI15" s="447"/>
      <c r="AJ15" s="447"/>
      <c r="AK15" s="447"/>
      <c r="AL15" s="447"/>
      <c r="AM15" s="447"/>
      <c r="AN15" s="447"/>
      <c r="AO15" s="447"/>
      <c r="AP15" s="447"/>
      <c r="AQ15" s="447"/>
      <c r="AR15" s="484"/>
      <c r="AS15" s="139"/>
      <c r="AT15" s="125"/>
      <c r="AU15" s="470"/>
      <c r="AV15" s="134"/>
      <c r="AW15" s="483" t="str">
        <f>IF(Roster!$O$4=0,"",Roster!$O$4&amp;Roster!BF4)</f>
        <v>Block, Dodge</v>
      </c>
      <c r="AX15" s="447"/>
      <c r="AY15" s="447"/>
      <c r="AZ15" s="447"/>
      <c r="BA15" s="447"/>
      <c r="BB15" s="447"/>
      <c r="BC15" s="447"/>
      <c r="BD15" s="447"/>
      <c r="BE15" s="447"/>
      <c r="BF15" s="447"/>
      <c r="BG15" s="484"/>
      <c r="BH15" s="139"/>
    </row>
    <row r="16" spans="1:60" ht="4.5" customHeight="1">
      <c r="A16" s="125"/>
      <c r="B16" s="490"/>
      <c r="C16" s="134"/>
      <c r="D16" s="477"/>
      <c r="E16" s="478"/>
      <c r="F16" s="479"/>
      <c r="G16" s="134"/>
      <c r="H16" s="477"/>
      <c r="I16" s="478"/>
      <c r="J16" s="479"/>
      <c r="K16" s="134"/>
      <c r="L16" s="477"/>
      <c r="M16" s="478"/>
      <c r="N16" s="479"/>
      <c r="O16" s="139"/>
      <c r="P16" s="125"/>
      <c r="Q16" s="471"/>
      <c r="R16" s="134"/>
      <c r="S16" s="475"/>
      <c r="T16" s="356"/>
      <c r="U16" s="356"/>
      <c r="V16" s="356"/>
      <c r="W16" s="356"/>
      <c r="X16" s="356"/>
      <c r="Y16" s="356"/>
      <c r="Z16" s="356"/>
      <c r="AA16" s="356"/>
      <c r="AB16" s="356"/>
      <c r="AC16" s="476"/>
      <c r="AD16" s="139"/>
      <c r="AE16" s="125"/>
      <c r="AF16" s="471"/>
      <c r="AG16" s="134"/>
      <c r="AH16" s="475"/>
      <c r="AI16" s="356"/>
      <c r="AJ16" s="356"/>
      <c r="AK16" s="356"/>
      <c r="AL16" s="356"/>
      <c r="AM16" s="356"/>
      <c r="AN16" s="356"/>
      <c r="AO16" s="356"/>
      <c r="AP16" s="356"/>
      <c r="AQ16" s="356"/>
      <c r="AR16" s="476"/>
      <c r="AS16" s="139"/>
      <c r="AT16" s="125"/>
      <c r="AU16" s="471"/>
      <c r="AV16" s="134"/>
      <c r="AW16" s="475"/>
      <c r="AX16" s="356"/>
      <c r="AY16" s="356"/>
      <c r="AZ16" s="356"/>
      <c r="BA16" s="356"/>
      <c r="BB16" s="356"/>
      <c r="BC16" s="356"/>
      <c r="BD16" s="356"/>
      <c r="BE16" s="356"/>
      <c r="BF16" s="356"/>
      <c r="BG16" s="476"/>
      <c r="BH16" s="139"/>
    </row>
    <row r="17" spans="1:60" ht="11.25" customHeight="1">
      <c r="A17" s="125"/>
      <c r="B17" s="490"/>
      <c r="C17" s="133"/>
      <c r="D17" s="473" t="str">
        <f>IF(Roster!$R$29=0,"",Roster!$R$29)</f>
        <v>SPECIAL CARD</v>
      </c>
      <c r="E17" s="394"/>
      <c r="F17" s="395"/>
      <c r="G17" s="133"/>
      <c r="H17" s="485" t="str">
        <f>IF(Roster!$AD$24=0,"",Roster!$AD$24)</f>
        <v>(IN)FAMOUS COACHES</v>
      </c>
      <c r="I17" s="394"/>
      <c r="J17" s="395"/>
      <c r="K17" s="133"/>
      <c r="L17" s="485" t="str">
        <f>IF(Roster!$AD$25=0,"",Roster!$AD$25)</f>
        <v>(IN)FAMOUS COACHES</v>
      </c>
      <c r="M17" s="394"/>
      <c r="N17" s="395"/>
      <c r="O17" s="128"/>
      <c r="P17" s="125"/>
      <c r="Q17" s="132" t="str">
        <f>IF(Roster!$N$1=0,"",Roster!$N$1)</f>
        <v>AV</v>
      </c>
      <c r="R17" s="133"/>
      <c r="S17" s="475"/>
      <c r="T17" s="356"/>
      <c r="U17" s="356"/>
      <c r="V17" s="356"/>
      <c r="W17" s="356"/>
      <c r="X17" s="356"/>
      <c r="Y17" s="356"/>
      <c r="Z17" s="356"/>
      <c r="AA17" s="356"/>
      <c r="AB17" s="356"/>
      <c r="AC17" s="476"/>
      <c r="AD17" s="128"/>
      <c r="AE17" s="125"/>
      <c r="AF17" s="132" t="str">
        <f>IF(Roster!$N$1=0,"",Roster!$N$1)</f>
        <v>AV</v>
      </c>
      <c r="AG17" s="133"/>
      <c r="AH17" s="475"/>
      <c r="AI17" s="356"/>
      <c r="AJ17" s="356"/>
      <c r="AK17" s="356"/>
      <c r="AL17" s="356"/>
      <c r="AM17" s="356"/>
      <c r="AN17" s="356"/>
      <c r="AO17" s="356"/>
      <c r="AP17" s="356"/>
      <c r="AQ17" s="356"/>
      <c r="AR17" s="476"/>
      <c r="AS17" s="128"/>
      <c r="AT17" s="125"/>
      <c r="AU17" s="132" t="str">
        <f>IF(Roster!$N$1=0,"",Roster!$N$1)</f>
        <v>AV</v>
      </c>
      <c r="AV17" s="133"/>
      <c r="AW17" s="475"/>
      <c r="AX17" s="356"/>
      <c r="AY17" s="356"/>
      <c r="AZ17" s="356"/>
      <c r="BA17" s="356"/>
      <c r="BB17" s="356"/>
      <c r="BC17" s="356"/>
      <c r="BD17" s="356"/>
      <c r="BE17" s="356"/>
      <c r="BF17" s="356"/>
      <c r="BG17" s="476"/>
      <c r="BH17" s="128"/>
    </row>
    <row r="18" spans="1:60" ht="15" customHeight="1">
      <c r="A18" s="125"/>
      <c r="B18" s="490"/>
      <c r="C18" s="134"/>
      <c r="D18" s="492">
        <f>Roster!$W$29</f>
        <v>0</v>
      </c>
      <c r="E18" s="307"/>
      <c r="F18" s="308"/>
      <c r="G18" s="134"/>
      <c r="H18" s="492">
        <f>Roster!$AI$24</f>
        <v>0</v>
      </c>
      <c r="I18" s="307"/>
      <c r="J18" s="308"/>
      <c r="K18" s="134"/>
      <c r="L18" s="492">
        <f>Roster!$AI$24</f>
        <v>0</v>
      </c>
      <c r="M18" s="307"/>
      <c r="N18" s="308"/>
      <c r="O18" s="140"/>
      <c r="P18" s="125"/>
      <c r="Q18" s="469" t="str">
        <f>IF(Roster!$N$2=0&amp;"+","",Roster!$N$2)</f>
        <v>8+</v>
      </c>
      <c r="R18" s="134"/>
      <c r="S18" s="475"/>
      <c r="T18" s="356"/>
      <c r="U18" s="356"/>
      <c r="V18" s="356"/>
      <c r="W18" s="356"/>
      <c r="X18" s="356"/>
      <c r="Y18" s="356"/>
      <c r="Z18" s="356"/>
      <c r="AA18" s="356"/>
      <c r="AB18" s="356"/>
      <c r="AC18" s="476"/>
      <c r="AD18" s="140"/>
      <c r="AE18" s="125"/>
      <c r="AF18" s="469" t="str">
        <f>IF(Roster!$N$3=0&amp;"+","",Roster!$N$3)</f>
        <v>9+</v>
      </c>
      <c r="AG18" s="134"/>
      <c r="AH18" s="475"/>
      <c r="AI18" s="356"/>
      <c r="AJ18" s="356"/>
      <c r="AK18" s="356"/>
      <c r="AL18" s="356"/>
      <c r="AM18" s="356"/>
      <c r="AN18" s="356"/>
      <c r="AO18" s="356"/>
      <c r="AP18" s="356"/>
      <c r="AQ18" s="356"/>
      <c r="AR18" s="476"/>
      <c r="AS18" s="140"/>
      <c r="AT18" s="125"/>
      <c r="AU18" s="469" t="str">
        <f>IF(Roster!$N$4=0&amp;"+","",Roster!$N$4)</f>
        <v>9+</v>
      </c>
      <c r="AV18" s="134"/>
      <c r="AW18" s="475"/>
      <c r="AX18" s="356"/>
      <c r="AY18" s="356"/>
      <c r="AZ18" s="356"/>
      <c r="BA18" s="356"/>
      <c r="BB18" s="356"/>
      <c r="BC18" s="356"/>
      <c r="BD18" s="356"/>
      <c r="BE18" s="356"/>
      <c r="BF18" s="356"/>
      <c r="BG18" s="476"/>
      <c r="BH18" s="140"/>
    </row>
    <row r="19" spans="1:60" ht="4.5" customHeight="1">
      <c r="A19" s="125"/>
      <c r="B19" s="490"/>
      <c r="C19" s="134"/>
      <c r="D19" s="475"/>
      <c r="E19" s="356"/>
      <c r="F19" s="476"/>
      <c r="G19" s="134"/>
      <c r="H19" s="475"/>
      <c r="I19" s="356"/>
      <c r="J19" s="476"/>
      <c r="K19" s="134"/>
      <c r="L19" s="475"/>
      <c r="M19" s="356"/>
      <c r="N19" s="476"/>
      <c r="O19" s="140"/>
      <c r="P19" s="125"/>
      <c r="Q19" s="470"/>
      <c r="R19" s="134"/>
      <c r="S19" s="475"/>
      <c r="T19" s="356"/>
      <c r="U19" s="356"/>
      <c r="V19" s="356"/>
      <c r="W19" s="356"/>
      <c r="X19" s="356"/>
      <c r="Y19" s="356"/>
      <c r="Z19" s="356"/>
      <c r="AA19" s="356"/>
      <c r="AB19" s="356"/>
      <c r="AC19" s="476"/>
      <c r="AD19" s="140"/>
      <c r="AE19" s="125"/>
      <c r="AF19" s="470"/>
      <c r="AG19" s="134"/>
      <c r="AH19" s="475"/>
      <c r="AI19" s="356"/>
      <c r="AJ19" s="356"/>
      <c r="AK19" s="356"/>
      <c r="AL19" s="356"/>
      <c r="AM19" s="356"/>
      <c r="AN19" s="356"/>
      <c r="AO19" s="356"/>
      <c r="AP19" s="356"/>
      <c r="AQ19" s="356"/>
      <c r="AR19" s="476"/>
      <c r="AS19" s="140"/>
      <c r="AT19" s="125"/>
      <c r="AU19" s="470"/>
      <c r="AV19" s="134"/>
      <c r="AW19" s="475"/>
      <c r="AX19" s="356"/>
      <c r="AY19" s="356"/>
      <c r="AZ19" s="356"/>
      <c r="BA19" s="356"/>
      <c r="BB19" s="356"/>
      <c r="BC19" s="356"/>
      <c r="BD19" s="356"/>
      <c r="BE19" s="356"/>
      <c r="BF19" s="356"/>
      <c r="BG19" s="476"/>
      <c r="BH19" s="140"/>
    </row>
    <row r="20" spans="1:60" ht="11.25" customHeight="1">
      <c r="A20" s="125"/>
      <c r="B20" s="490"/>
      <c r="C20" s="134"/>
      <c r="D20" s="475"/>
      <c r="E20" s="356"/>
      <c r="F20" s="476"/>
      <c r="G20" s="141"/>
      <c r="H20" s="475"/>
      <c r="I20" s="356"/>
      <c r="J20" s="476"/>
      <c r="K20" s="141"/>
      <c r="L20" s="475"/>
      <c r="M20" s="356"/>
      <c r="N20" s="476"/>
      <c r="O20" s="140"/>
      <c r="P20" s="125"/>
      <c r="Q20" s="470"/>
      <c r="R20" s="134"/>
      <c r="S20" s="475"/>
      <c r="T20" s="356"/>
      <c r="U20" s="356"/>
      <c r="V20" s="356"/>
      <c r="W20" s="356"/>
      <c r="X20" s="356"/>
      <c r="Y20" s="356"/>
      <c r="Z20" s="356"/>
      <c r="AA20" s="356"/>
      <c r="AB20" s="356"/>
      <c r="AC20" s="476"/>
      <c r="AD20" s="140"/>
      <c r="AE20" s="125"/>
      <c r="AF20" s="470"/>
      <c r="AG20" s="134"/>
      <c r="AH20" s="475"/>
      <c r="AI20" s="356"/>
      <c r="AJ20" s="356"/>
      <c r="AK20" s="356"/>
      <c r="AL20" s="356"/>
      <c r="AM20" s="356"/>
      <c r="AN20" s="356"/>
      <c r="AO20" s="356"/>
      <c r="AP20" s="356"/>
      <c r="AQ20" s="356"/>
      <c r="AR20" s="476"/>
      <c r="AS20" s="140"/>
      <c r="AT20" s="125"/>
      <c r="AU20" s="470"/>
      <c r="AV20" s="134"/>
      <c r="AW20" s="475"/>
      <c r="AX20" s="356"/>
      <c r="AY20" s="356"/>
      <c r="AZ20" s="356"/>
      <c r="BA20" s="356"/>
      <c r="BB20" s="356"/>
      <c r="BC20" s="356"/>
      <c r="BD20" s="356"/>
      <c r="BE20" s="356"/>
      <c r="BF20" s="356"/>
      <c r="BG20" s="476"/>
      <c r="BH20" s="140"/>
    </row>
    <row r="21" spans="1:60" ht="6.75" customHeight="1">
      <c r="A21" s="125"/>
      <c r="B21" s="490"/>
      <c r="C21" s="134"/>
      <c r="D21" s="477"/>
      <c r="E21" s="478"/>
      <c r="F21" s="479"/>
      <c r="G21" s="142"/>
      <c r="H21" s="477"/>
      <c r="I21" s="478"/>
      <c r="J21" s="479"/>
      <c r="K21" s="142"/>
      <c r="L21" s="477"/>
      <c r="M21" s="478"/>
      <c r="N21" s="479"/>
      <c r="O21" s="140"/>
      <c r="P21" s="125"/>
      <c r="Q21" s="471"/>
      <c r="R21" s="134"/>
      <c r="S21" s="475"/>
      <c r="T21" s="356"/>
      <c r="U21" s="356"/>
      <c r="V21" s="356"/>
      <c r="W21" s="356"/>
      <c r="X21" s="356"/>
      <c r="Y21" s="356"/>
      <c r="Z21" s="356"/>
      <c r="AA21" s="356"/>
      <c r="AB21" s="356"/>
      <c r="AC21" s="476"/>
      <c r="AD21" s="140"/>
      <c r="AE21" s="125"/>
      <c r="AF21" s="471"/>
      <c r="AG21" s="134"/>
      <c r="AH21" s="475"/>
      <c r="AI21" s="356"/>
      <c r="AJ21" s="356"/>
      <c r="AK21" s="356"/>
      <c r="AL21" s="356"/>
      <c r="AM21" s="356"/>
      <c r="AN21" s="356"/>
      <c r="AO21" s="356"/>
      <c r="AP21" s="356"/>
      <c r="AQ21" s="356"/>
      <c r="AR21" s="476"/>
      <c r="AS21" s="140"/>
      <c r="AT21" s="125"/>
      <c r="AU21" s="471"/>
      <c r="AV21" s="134"/>
      <c r="AW21" s="475"/>
      <c r="AX21" s="356"/>
      <c r="AY21" s="356"/>
      <c r="AZ21" s="356"/>
      <c r="BA21" s="356"/>
      <c r="BB21" s="356"/>
      <c r="BC21" s="356"/>
      <c r="BD21" s="356"/>
      <c r="BE21" s="356"/>
      <c r="BF21" s="356"/>
      <c r="BG21" s="476"/>
      <c r="BH21" s="140"/>
    </row>
    <row r="22" spans="1:60" ht="11.25" customHeight="1">
      <c r="A22" s="125"/>
      <c r="B22" s="490"/>
      <c r="C22" s="130"/>
      <c r="D22" s="485" t="str">
        <f>IF(Roster!$AD$26=0,"",Roster!$AD$26)</f>
        <v>BIASED REFEREE</v>
      </c>
      <c r="E22" s="394"/>
      <c r="F22" s="395"/>
      <c r="G22" s="142"/>
      <c r="H22" s="485" t="str">
        <f>IF(Roster!$AD$27=0,"",Roster!$AD$27)</f>
        <v>OTHER INDUCEMENTS</v>
      </c>
      <c r="I22" s="394"/>
      <c r="J22" s="395"/>
      <c r="K22" s="142"/>
      <c r="L22" s="473" t="str">
        <f>IF(Roster!$AD$28=0,"",Roster!$AD$28)</f>
        <v>WANDERING APO</v>
      </c>
      <c r="M22" s="394"/>
      <c r="N22" s="395"/>
      <c r="O22" s="143"/>
      <c r="P22" s="125"/>
      <c r="Q22" s="132" t="str">
        <f>IF(Roster!$AN$1=0,"",Roster!$AN$1)</f>
        <v>COST</v>
      </c>
      <c r="R22" s="133"/>
      <c r="S22" s="475"/>
      <c r="T22" s="356"/>
      <c r="U22" s="356"/>
      <c r="V22" s="356"/>
      <c r="W22" s="356"/>
      <c r="X22" s="356"/>
      <c r="Y22" s="356"/>
      <c r="Z22" s="356"/>
      <c r="AA22" s="356"/>
      <c r="AB22" s="356"/>
      <c r="AC22" s="476"/>
      <c r="AD22" s="143"/>
      <c r="AE22" s="125"/>
      <c r="AF22" s="132" t="str">
        <f>IF(Roster!$AN$1=0,"",Roster!$AN$1)</f>
        <v>COST</v>
      </c>
      <c r="AG22" s="133"/>
      <c r="AH22" s="475"/>
      <c r="AI22" s="356"/>
      <c r="AJ22" s="356"/>
      <c r="AK22" s="356"/>
      <c r="AL22" s="356"/>
      <c r="AM22" s="356"/>
      <c r="AN22" s="356"/>
      <c r="AO22" s="356"/>
      <c r="AP22" s="356"/>
      <c r="AQ22" s="356"/>
      <c r="AR22" s="476"/>
      <c r="AS22" s="143"/>
      <c r="AT22" s="125"/>
      <c r="AU22" s="132" t="str">
        <f>IF(Roster!$AN$1=0,"",Roster!$AN$1)</f>
        <v>COST</v>
      </c>
      <c r="AV22" s="133"/>
      <c r="AW22" s="475"/>
      <c r="AX22" s="356"/>
      <c r="AY22" s="356"/>
      <c r="AZ22" s="356"/>
      <c r="BA22" s="356"/>
      <c r="BB22" s="356"/>
      <c r="BC22" s="356"/>
      <c r="BD22" s="356"/>
      <c r="BE22" s="356"/>
      <c r="BF22" s="356"/>
      <c r="BG22" s="476"/>
      <c r="BH22" s="143"/>
    </row>
    <row r="23" spans="1:60" ht="34.5" customHeight="1">
      <c r="A23" s="125"/>
      <c r="B23" s="491"/>
      <c r="C23" s="144"/>
      <c r="D23" s="486">
        <f>Roster!$AI$26</f>
        <v>0</v>
      </c>
      <c r="E23" s="487"/>
      <c r="F23" s="488"/>
      <c r="G23" s="142"/>
      <c r="H23" s="486">
        <f>Roster!$AI$27</f>
        <v>0</v>
      </c>
      <c r="I23" s="487"/>
      <c r="J23" s="488"/>
      <c r="K23" s="142"/>
      <c r="L23" s="486">
        <f>Roster!$AI$28</f>
        <v>0</v>
      </c>
      <c r="M23" s="487"/>
      <c r="N23" s="488"/>
      <c r="O23" s="143"/>
      <c r="P23" s="125"/>
      <c r="Q23" s="145">
        <f>IF(Roster!$AN$2=0,"",Roster!$AN$2)</f>
        <v>80000</v>
      </c>
      <c r="R23" s="146"/>
      <c r="S23" s="477"/>
      <c r="T23" s="478"/>
      <c r="U23" s="478"/>
      <c r="V23" s="478"/>
      <c r="W23" s="478"/>
      <c r="X23" s="478"/>
      <c r="Y23" s="478"/>
      <c r="Z23" s="478"/>
      <c r="AA23" s="478"/>
      <c r="AB23" s="478"/>
      <c r="AC23" s="479"/>
      <c r="AD23" s="143"/>
      <c r="AE23" s="125"/>
      <c r="AF23" s="145">
        <f>IF(Roster!$AN$3=0,"",Roster!$AN$3)</f>
        <v>100000</v>
      </c>
      <c r="AG23" s="146"/>
      <c r="AH23" s="477"/>
      <c r="AI23" s="478"/>
      <c r="AJ23" s="478"/>
      <c r="AK23" s="478"/>
      <c r="AL23" s="478"/>
      <c r="AM23" s="478"/>
      <c r="AN23" s="478"/>
      <c r="AO23" s="478"/>
      <c r="AP23" s="478"/>
      <c r="AQ23" s="478"/>
      <c r="AR23" s="479"/>
      <c r="AS23" s="143"/>
      <c r="AT23" s="125"/>
      <c r="AU23" s="145">
        <f>IF(Roster!$AN$4=0,"",Roster!$AN$4)</f>
        <v>100000</v>
      </c>
      <c r="AV23" s="146"/>
      <c r="AW23" s="477"/>
      <c r="AX23" s="478"/>
      <c r="AY23" s="478"/>
      <c r="AZ23" s="478"/>
      <c r="BA23" s="478"/>
      <c r="BB23" s="478"/>
      <c r="BC23" s="478"/>
      <c r="BD23" s="478"/>
      <c r="BE23" s="478"/>
      <c r="BF23" s="478"/>
      <c r="BG23" s="479"/>
      <c r="BH23" s="143"/>
    </row>
    <row r="24" spans="1:60" ht="4.5" customHeight="1">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c r="A26" s="125"/>
      <c r="B26" s="489" t="str">
        <f>IF(Roster!$A$5=0,"","#"&amp;Roster!$A$5)</f>
        <v>#4</v>
      </c>
      <c r="C26" s="126"/>
      <c r="D26" s="126"/>
      <c r="E26" s="126"/>
      <c r="F26" s="126"/>
      <c r="G26" s="126"/>
      <c r="H26" s="126"/>
      <c r="I26" s="126"/>
      <c r="J26" s="126"/>
      <c r="K26" s="126"/>
      <c r="L26" s="126"/>
      <c r="M26" s="126"/>
      <c r="N26" s="126"/>
      <c r="O26" s="127"/>
      <c r="P26" s="125"/>
      <c r="Q26" s="489" t="str">
        <f>IF(Roster!$A$6=0,"","#"&amp;Roster!$A$6)</f>
        <v>#5</v>
      </c>
      <c r="R26" s="126"/>
      <c r="S26" s="126"/>
      <c r="T26" s="126"/>
      <c r="U26" s="126"/>
      <c r="V26" s="126"/>
      <c r="W26" s="126"/>
      <c r="X26" s="126"/>
      <c r="Y26" s="126"/>
      <c r="Z26" s="126"/>
      <c r="AA26" s="126"/>
      <c r="AB26" s="126"/>
      <c r="AC26" s="126"/>
      <c r="AD26" s="127"/>
      <c r="AE26" s="125"/>
      <c r="AF26" s="489" t="str">
        <f>IF(Roster!$A$7=0,"","#"&amp;Roster!$A$7)</f>
        <v>#6</v>
      </c>
      <c r="AG26" s="126"/>
      <c r="AH26" s="126"/>
      <c r="AI26" s="126"/>
      <c r="AJ26" s="126"/>
      <c r="AK26" s="126"/>
      <c r="AL26" s="126"/>
      <c r="AM26" s="126"/>
      <c r="AN26" s="126"/>
      <c r="AO26" s="126"/>
      <c r="AP26" s="126"/>
      <c r="AQ26" s="126"/>
      <c r="AR26" s="126"/>
      <c r="AS26" s="127"/>
      <c r="AT26" s="125"/>
      <c r="AU26" s="489" t="str">
        <f>IF(Roster!$A$8=0,"","#"&amp;Roster!$A$8)</f>
        <v>#7</v>
      </c>
      <c r="AV26" s="126"/>
      <c r="AW26" s="126"/>
      <c r="AX26" s="126"/>
      <c r="AY26" s="126"/>
      <c r="AZ26" s="126"/>
      <c r="BA26" s="126"/>
      <c r="BB26" s="126"/>
      <c r="BC26" s="126"/>
      <c r="BD26" s="126"/>
      <c r="BE26" s="126"/>
      <c r="BF26" s="126"/>
      <c r="BG26" s="126"/>
      <c r="BH26" s="127"/>
    </row>
    <row r="27" spans="1:60" ht="15" customHeight="1">
      <c r="A27" s="125"/>
      <c r="B27" s="490"/>
      <c r="C27" s="472" t="str">
        <f>IF(Roster!$B$5=0,"",Roster!$B$5)</f>
        <v/>
      </c>
      <c r="D27" s="394"/>
      <c r="E27" s="394"/>
      <c r="F27" s="394"/>
      <c r="G27" s="394"/>
      <c r="H27" s="394"/>
      <c r="I27" s="394"/>
      <c r="J27" s="394"/>
      <c r="K27" s="394"/>
      <c r="L27" s="394"/>
      <c r="M27" s="394"/>
      <c r="N27" s="395"/>
      <c r="O27" s="128"/>
      <c r="P27" s="125"/>
      <c r="Q27" s="490"/>
      <c r="R27" s="472" t="str">
        <f>IF(Roster!$B$6=0,"",Roster!$B$6)</f>
        <v/>
      </c>
      <c r="S27" s="394"/>
      <c r="T27" s="394"/>
      <c r="U27" s="394"/>
      <c r="V27" s="394"/>
      <c r="W27" s="394"/>
      <c r="X27" s="394"/>
      <c r="Y27" s="394"/>
      <c r="Z27" s="394"/>
      <c r="AA27" s="394"/>
      <c r="AB27" s="394"/>
      <c r="AC27" s="395"/>
      <c r="AD27" s="128"/>
      <c r="AE27" s="125"/>
      <c r="AF27" s="490"/>
      <c r="AG27" s="472" t="str">
        <f>IF(Roster!$B$7=0,"",Roster!$B$7)</f>
        <v/>
      </c>
      <c r="AH27" s="394"/>
      <c r="AI27" s="394"/>
      <c r="AJ27" s="394"/>
      <c r="AK27" s="394"/>
      <c r="AL27" s="394"/>
      <c r="AM27" s="394"/>
      <c r="AN27" s="394"/>
      <c r="AO27" s="394"/>
      <c r="AP27" s="394"/>
      <c r="AQ27" s="394"/>
      <c r="AR27" s="395"/>
      <c r="AS27" s="128"/>
      <c r="AT27" s="125"/>
      <c r="AU27" s="490"/>
      <c r="AV27" s="472" t="str">
        <f>IF(Roster!$B$8=0,"",Roster!$B$8)</f>
        <v/>
      </c>
      <c r="AW27" s="394"/>
      <c r="AX27" s="394"/>
      <c r="AY27" s="394"/>
      <c r="AZ27" s="394"/>
      <c r="BA27" s="394"/>
      <c r="BB27" s="394"/>
      <c r="BC27" s="394"/>
      <c r="BD27" s="394"/>
      <c r="BE27" s="394"/>
      <c r="BF27" s="394"/>
      <c r="BG27" s="395"/>
      <c r="BH27" s="128"/>
    </row>
    <row r="28" spans="1:60" ht="11.25" customHeight="1">
      <c r="A28" s="125"/>
      <c r="B28" s="491"/>
      <c r="C28" s="473" t="str">
        <f>IF(Roster!$C$5=0,"",Roster!$C$5)</f>
        <v/>
      </c>
      <c r="D28" s="394"/>
      <c r="E28" s="394"/>
      <c r="F28" s="394"/>
      <c r="G28" s="394"/>
      <c r="H28" s="394"/>
      <c r="I28" s="394"/>
      <c r="J28" s="394"/>
      <c r="K28" s="394"/>
      <c r="L28" s="394"/>
      <c r="M28" s="394"/>
      <c r="N28" s="395"/>
      <c r="O28" s="129"/>
      <c r="P28" s="125"/>
      <c r="Q28" s="491"/>
      <c r="R28" s="473" t="str">
        <f>IF(Roster!$C$6=0,"",Roster!$C$6)</f>
        <v/>
      </c>
      <c r="S28" s="394"/>
      <c r="T28" s="394"/>
      <c r="U28" s="394"/>
      <c r="V28" s="394"/>
      <c r="W28" s="394"/>
      <c r="X28" s="394"/>
      <c r="Y28" s="394"/>
      <c r="Z28" s="394"/>
      <c r="AA28" s="394"/>
      <c r="AB28" s="394"/>
      <c r="AC28" s="395"/>
      <c r="AD28" s="129"/>
      <c r="AE28" s="125"/>
      <c r="AF28" s="491"/>
      <c r="AG28" s="473" t="str">
        <f>IF(Roster!$C$7=0,"",Roster!$C$7)</f>
        <v/>
      </c>
      <c r="AH28" s="394"/>
      <c r="AI28" s="394"/>
      <c r="AJ28" s="394"/>
      <c r="AK28" s="394"/>
      <c r="AL28" s="394"/>
      <c r="AM28" s="394"/>
      <c r="AN28" s="394"/>
      <c r="AO28" s="394"/>
      <c r="AP28" s="394"/>
      <c r="AQ28" s="394"/>
      <c r="AR28" s="395"/>
      <c r="AS28" s="129"/>
      <c r="AT28" s="125"/>
      <c r="AU28" s="491"/>
      <c r="AV28" s="473" t="str">
        <f>IF(Roster!$C$8=0,"",Roster!$C$8)</f>
        <v/>
      </c>
      <c r="AW28" s="394"/>
      <c r="AX28" s="394"/>
      <c r="AY28" s="394"/>
      <c r="AZ28" s="394"/>
      <c r="BA28" s="394"/>
      <c r="BB28" s="394"/>
      <c r="BC28" s="394"/>
      <c r="BD28" s="394"/>
      <c r="BE28" s="394"/>
      <c r="BF28" s="394"/>
      <c r="BG28" s="395"/>
      <c r="BH28" s="129"/>
    </row>
    <row r="29" spans="1:60" ht="11.25" customHeight="1">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c r="A30" s="125"/>
      <c r="B30" s="135" t="str">
        <f>IF(Roster!$J$5=0,"",Roster!$J$5)</f>
        <v/>
      </c>
      <c r="C30" s="133"/>
      <c r="D30" s="474"/>
      <c r="E30" s="307"/>
      <c r="F30" s="307"/>
      <c r="G30" s="307"/>
      <c r="H30" s="307"/>
      <c r="I30" s="307"/>
      <c r="J30" s="307"/>
      <c r="K30" s="307"/>
      <c r="L30" s="307"/>
      <c r="M30" s="307"/>
      <c r="N30" s="308"/>
      <c r="O30" s="128"/>
      <c r="P30" s="125"/>
      <c r="Q30" s="135" t="str">
        <f>IF(Roster!$J$6=0,"",Roster!$J$6)</f>
        <v/>
      </c>
      <c r="R30" s="133"/>
      <c r="S30" s="474"/>
      <c r="T30" s="307"/>
      <c r="U30" s="307"/>
      <c r="V30" s="307"/>
      <c r="W30" s="307"/>
      <c r="X30" s="307"/>
      <c r="Y30" s="307"/>
      <c r="Z30" s="307"/>
      <c r="AA30" s="307"/>
      <c r="AB30" s="307"/>
      <c r="AC30" s="308"/>
      <c r="AD30" s="128"/>
      <c r="AE30" s="125"/>
      <c r="AF30" s="135" t="str">
        <f>IF(Roster!$J$7=0,"",Roster!$J$7)</f>
        <v/>
      </c>
      <c r="AG30" s="133"/>
      <c r="AH30" s="474"/>
      <c r="AI30" s="307"/>
      <c r="AJ30" s="307"/>
      <c r="AK30" s="307"/>
      <c r="AL30" s="307"/>
      <c r="AM30" s="307"/>
      <c r="AN30" s="307"/>
      <c r="AO30" s="307"/>
      <c r="AP30" s="307"/>
      <c r="AQ30" s="307"/>
      <c r="AR30" s="308"/>
      <c r="AS30" s="128"/>
      <c r="AT30" s="125"/>
      <c r="AU30" s="135" t="str">
        <f>IF(Roster!$J$8=0,"",Roster!$J$8)</f>
        <v/>
      </c>
      <c r="AV30" s="133"/>
      <c r="AW30" s="474"/>
      <c r="AX30" s="307"/>
      <c r="AY30" s="307"/>
      <c r="AZ30" s="307"/>
      <c r="BA30" s="307"/>
      <c r="BB30" s="307"/>
      <c r="BC30" s="307"/>
      <c r="BD30" s="307"/>
      <c r="BE30" s="307"/>
      <c r="BF30" s="307"/>
      <c r="BG30" s="308"/>
      <c r="BH30" s="128"/>
    </row>
    <row r="31" spans="1:60" ht="11.25" customHeight="1">
      <c r="A31" s="125"/>
      <c r="B31" s="132" t="str">
        <f>IF(Roster!$K$1=0,"",Roster!$K$1)</f>
        <v>ST</v>
      </c>
      <c r="C31" s="133"/>
      <c r="D31" s="475"/>
      <c r="E31" s="356"/>
      <c r="F31" s="356"/>
      <c r="G31" s="356"/>
      <c r="H31" s="356"/>
      <c r="I31" s="356"/>
      <c r="J31" s="356"/>
      <c r="K31" s="356"/>
      <c r="L31" s="356"/>
      <c r="M31" s="356"/>
      <c r="N31" s="476"/>
      <c r="O31" s="128"/>
      <c r="P31" s="125"/>
      <c r="Q31" s="132" t="str">
        <f>IF(Roster!$K$1=0,"",Roster!$K$1)</f>
        <v>ST</v>
      </c>
      <c r="R31" s="133"/>
      <c r="S31" s="475"/>
      <c r="T31" s="356"/>
      <c r="U31" s="356"/>
      <c r="V31" s="356"/>
      <c r="W31" s="356"/>
      <c r="X31" s="356"/>
      <c r="Y31" s="356"/>
      <c r="Z31" s="356"/>
      <c r="AA31" s="356"/>
      <c r="AB31" s="356"/>
      <c r="AC31" s="476"/>
      <c r="AD31" s="128"/>
      <c r="AE31" s="125"/>
      <c r="AF31" s="132" t="str">
        <f>IF(Roster!$K$1=0,"",Roster!$K$1)</f>
        <v>ST</v>
      </c>
      <c r="AG31" s="133"/>
      <c r="AH31" s="475"/>
      <c r="AI31" s="356"/>
      <c r="AJ31" s="356"/>
      <c r="AK31" s="356"/>
      <c r="AL31" s="356"/>
      <c r="AM31" s="356"/>
      <c r="AN31" s="356"/>
      <c r="AO31" s="356"/>
      <c r="AP31" s="356"/>
      <c r="AQ31" s="356"/>
      <c r="AR31" s="476"/>
      <c r="AS31" s="128"/>
      <c r="AT31" s="125"/>
      <c r="AU31" s="132" t="str">
        <f>IF(Roster!$K$1=0,"",Roster!$K$1)</f>
        <v>ST</v>
      </c>
      <c r="AV31" s="133"/>
      <c r="AW31" s="475"/>
      <c r="AX31" s="356"/>
      <c r="AY31" s="356"/>
      <c r="AZ31" s="356"/>
      <c r="BA31" s="356"/>
      <c r="BB31" s="356"/>
      <c r="BC31" s="356"/>
      <c r="BD31" s="356"/>
      <c r="BE31" s="356"/>
      <c r="BF31" s="356"/>
      <c r="BG31" s="476"/>
      <c r="BH31" s="128"/>
    </row>
    <row r="32" spans="1:60" ht="37.5" customHeight="1">
      <c r="A32" s="125"/>
      <c r="B32" s="135" t="str">
        <f>IF(Roster!$K$5=0,"",Roster!$K$5)</f>
        <v/>
      </c>
      <c r="C32" s="133"/>
      <c r="D32" s="475"/>
      <c r="E32" s="356"/>
      <c r="F32" s="356"/>
      <c r="G32" s="356"/>
      <c r="H32" s="356"/>
      <c r="I32" s="356"/>
      <c r="J32" s="356"/>
      <c r="K32" s="356"/>
      <c r="L32" s="356"/>
      <c r="M32" s="356"/>
      <c r="N32" s="476"/>
      <c r="O32" s="128"/>
      <c r="P32" s="125"/>
      <c r="Q32" s="135" t="str">
        <f>IF(Roster!$K$6=0,"",Roster!$K$6)</f>
        <v/>
      </c>
      <c r="R32" s="133"/>
      <c r="S32" s="475"/>
      <c r="T32" s="356"/>
      <c r="U32" s="356"/>
      <c r="V32" s="356"/>
      <c r="W32" s="356"/>
      <c r="X32" s="356"/>
      <c r="Y32" s="356"/>
      <c r="Z32" s="356"/>
      <c r="AA32" s="356"/>
      <c r="AB32" s="356"/>
      <c r="AC32" s="476"/>
      <c r="AD32" s="128"/>
      <c r="AE32" s="125"/>
      <c r="AF32" s="135" t="str">
        <f>IF(Roster!$K$7=0,"",Roster!$K$7)</f>
        <v/>
      </c>
      <c r="AG32" s="133"/>
      <c r="AH32" s="475"/>
      <c r="AI32" s="356"/>
      <c r="AJ32" s="356"/>
      <c r="AK32" s="356"/>
      <c r="AL32" s="356"/>
      <c r="AM32" s="356"/>
      <c r="AN32" s="356"/>
      <c r="AO32" s="356"/>
      <c r="AP32" s="356"/>
      <c r="AQ32" s="356"/>
      <c r="AR32" s="476"/>
      <c r="AS32" s="128"/>
      <c r="AT32" s="125"/>
      <c r="AU32" s="135" t="str">
        <f>IF(Roster!$K$8=0,"",Roster!$K$8)</f>
        <v/>
      </c>
      <c r="AV32" s="133"/>
      <c r="AW32" s="475"/>
      <c r="AX32" s="356"/>
      <c r="AY32" s="356"/>
      <c r="AZ32" s="356"/>
      <c r="BA32" s="356"/>
      <c r="BB32" s="356"/>
      <c r="BC32" s="356"/>
      <c r="BD32" s="356"/>
      <c r="BE32" s="356"/>
      <c r="BF32" s="356"/>
      <c r="BG32" s="476"/>
      <c r="BH32" s="128"/>
    </row>
    <row r="33" spans="1:60" ht="11.25" customHeight="1">
      <c r="A33" s="125"/>
      <c r="B33" s="132" t="str">
        <f>IF(Roster!$L$1=0,"",Roster!$L$1)</f>
        <v>AG</v>
      </c>
      <c r="C33" s="133"/>
      <c r="D33" s="475"/>
      <c r="E33" s="356"/>
      <c r="F33" s="356"/>
      <c r="G33" s="356"/>
      <c r="H33" s="356"/>
      <c r="I33" s="356"/>
      <c r="J33" s="356"/>
      <c r="K33" s="356"/>
      <c r="L33" s="356"/>
      <c r="M33" s="356"/>
      <c r="N33" s="476"/>
      <c r="O33" s="128"/>
      <c r="P33" s="125"/>
      <c r="Q33" s="132" t="str">
        <f>IF(Roster!$L$1=0,"",Roster!$L$1)</f>
        <v>AG</v>
      </c>
      <c r="R33" s="133"/>
      <c r="S33" s="475"/>
      <c r="T33" s="356"/>
      <c r="U33" s="356"/>
      <c r="V33" s="356"/>
      <c r="W33" s="356"/>
      <c r="X33" s="356"/>
      <c r="Y33" s="356"/>
      <c r="Z33" s="356"/>
      <c r="AA33" s="356"/>
      <c r="AB33" s="356"/>
      <c r="AC33" s="476"/>
      <c r="AD33" s="128"/>
      <c r="AE33" s="125"/>
      <c r="AF33" s="132" t="str">
        <f>IF(Roster!$L$1=0,"",Roster!$L$1)</f>
        <v>AG</v>
      </c>
      <c r="AG33" s="133"/>
      <c r="AH33" s="475"/>
      <c r="AI33" s="356"/>
      <c r="AJ33" s="356"/>
      <c r="AK33" s="356"/>
      <c r="AL33" s="356"/>
      <c r="AM33" s="356"/>
      <c r="AN33" s="356"/>
      <c r="AO33" s="356"/>
      <c r="AP33" s="356"/>
      <c r="AQ33" s="356"/>
      <c r="AR33" s="476"/>
      <c r="AS33" s="128"/>
      <c r="AT33" s="125"/>
      <c r="AU33" s="132" t="str">
        <f>IF(Roster!$L$1=0,"",Roster!$L$1)</f>
        <v>AG</v>
      </c>
      <c r="AV33" s="133"/>
      <c r="AW33" s="475"/>
      <c r="AX33" s="356"/>
      <c r="AY33" s="356"/>
      <c r="AZ33" s="356"/>
      <c r="BA33" s="356"/>
      <c r="BB33" s="356"/>
      <c r="BC33" s="356"/>
      <c r="BD33" s="356"/>
      <c r="BE33" s="356"/>
      <c r="BF33" s="356"/>
      <c r="BG33" s="476"/>
      <c r="BH33" s="128"/>
    </row>
    <row r="34" spans="1:60" ht="37.5" customHeight="1">
      <c r="A34" s="125"/>
      <c r="B34" s="135" t="str">
        <f>IF(Roster!$L$5=0&amp;"+","",Roster!$L$5)</f>
        <v/>
      </c>
      <c r="C34" s="133"/>
      <c r="D34" s="475"/>
      <c r="E34" s="356"/>
      <c r="F34" s="356"/>
      <c r="G34" s="356"/>
      <c r="H34" s="356"/>
      <c r="I34" s="356"/>
      <c r="J34" s="356"/>
      <c r="K34" s="356"/>
      <c r="L34" s="356"/>
      <c r="M34" s="356"/>
      <c r="N34" s="476"/>
      <c r="O34" s="128"/>
      <c r="P34" s="125"/>
      <c r="Q34" s="135" t="str">
        <f>IF(Roster!$L$6=0&amp;"+","",Roster!$L$6)</f>
        <v/>
      </c>
      <c r="R34" s="133"/>
      <c r="S34" s="475"/>
      <c r="T34" s="356"/>
      <c r="U34" s="356"/>
      <c r="V34" s="356"/>
      <c r="W34" s="356"/>
      <c r="X34" s="356"/>
      <c r="Y34" s="356"/>
      <c r="Z34" s="356"/>
      <c r="AA34" s="356"/>
      <c r="AB34" s="356"/>
      <c r="AC34" s="476"/>
      <c r="AD34" s="128"/>
      <c r="AE34" s="125"/>
      <c r="AF34" s="135" t="str">
        <f>IF(Roster!$L$7=0&amp;"+","",Roster!$L$7)</f>
        <v/>
      </c>
      <c r="AG34" s="133"/>
      <c r="AH34" s="475"/>
      <c r="AI34" s="356"/>
      <c r="AJ34" s="356"/>
      <c r="AK34" s="356"/>
      <c r="AL34" s="356"/>
      <c r="AM34" s="356"/>
      <c r="AN34" s="356"/>
      <c r="AO34" s="356"/>
      <c r="AP34" s="356"/>
      <c r="AQ34" s="356"/>
      <c r="AR34" s="476"/>
      <c r="AS34" s="128"/>
      <c r="AT34" s="125"/>
      <c r="AU34" s="135" t="str">
        <f>IF(Roster!$L$8=0&amp;"+","",Roster!$L$8)</f>
        <v/>
      </c>
      <c r="AV34" s="133"/>
      <c r="AW34" s="475"/>
      <c r="AX34" s="356"/>
      <c r="AY34" s="356"/>
      <c r="AZ34" s="356"/>
      <c r="BA34" s="356"/>
      <c r="BB34" s="356"/>
      <c r="BC34" s="356"/>
      <c r="BD34" s="356"/>
      <c r="BE34" s="356"/>
      <c r="BF34" s="356"/>
      <c r="BG34" s="476"/>
      <c r="BH34" s="128"/>
    </row>
    <row r="35" spans="1:60" ht="11.25" customHeight="1">
      <c r="A35" s="125"/>
      <c r="B35" s="132" t="str">
        <f>IF(Roster!$M$1=0,"",Roster!$M$1)</f>
        <v>PA</v>
      </c>
      <c r="C35" s="133"/>
      <c r="D35" s="475"/>
      <c r="E35" s="356"/>
      <c r="F35" s="356"/>
      <c r="G35" s="356"/>
      <c r="H35" s="356"/>
      <c r="I35" s="356"/>
      <c r="J35" s="356"/>
      <c r="K35" s="356"/>
      <c r="L35" s="356"/>
      <c r="M35" s="356"/>
      <c r="N35" s="476"/>
      <c r="O35" s="137"/>
      <c r="P35" s="125"/>
      <c r="Q35" s="132" t="str">
        <f>IF(Roster!$M$1=0,"",Roster!$M$1)</f>
        <v>PA</v>
      </c>
      <c r="R35" s="133"/>
      <c r="S35" s="475"/>
      <c r="T35" s="356"/>
      <c r="U35" s="356"/>
      <c r="V35" s="356"/>
      <c r="W35" s="356"/>
      <c r="X35" s="356"/>
      <c r="Y35" s="356"/>
      <c r="Z35" s="356"/>
      <c r="AA35" s="356"/>
      <c r="AB35" s="356"/>
      <c r="AC35" s="476"/>
      <c r="AD35" s="137"/>
      <c r="AE35" s="125"/>
      <c r="AF35" s="132" t="str">
        <f>IF(Roster!$M$1=0,"",Roster!$M$1)</f>
        <v>PA</v>
      </c>
      <c r="AG35" s="133"/>
      <c r="AH35" s="475"/>
      <c r="AI35" s="356"/>
      <c r="AJ35" s="356"/>
      <c r="AK35" s="356"/>
      <c r="AL35" s="356"/>
      <c r="AM35" s="356"/>
      <c r="AN35" s="356"/>
      <c r="AO35" s="356"/>
      <c r="AP35" s="356"/>
      <c r="AQ35" s="356"/>
      <c r="AR35" s="476"/>
      <c r="AS35" s="137"/>
      <c r="AT35" s="125"/>
      <c r="AU35" s="132" t="str">
        <f>IF(Roster!$M$1=0,"",Roster!$M$1)</f>
        <v>PA</v>
      </c>
      <c r="AV35" s="133"/>
      <c r="AW35" s="475"/>
      <c r="AX35" s="356"/>
      <c r="AY35" s="356"/>
      <c r="AZ35" s="356"/>
      <c r="BA35" s="356"/>
      <c r="BB35" s="356"/>
      <c r="BC35" s="356"/>
      <c r="BD35" s="356"/>
      <c r="BE35" s="356"/>
      <c r="BF35" s="356"/>
      <c r="BG35" s="476"/>
      <c r="BH35" s="137"/>
    </row>
    <row r="36" spans="1:60" ht="6" customHeight="1">
      <c r="A36" s="125"/>
      <c r="B36" s="469" t="str">
        <f>IF(Roster!$M$5=0&amp;"+","",Roster!$M$5)</f>
        <v/>
      </c>
      <c r="C36" s="133"/>
      <c r="D36" s="477"/>
      <c r="E36" s="478"/>
      <c r="F36" s="478"/>
      <c r="G36" s="478"/>
      <c r="H36" s="478"/>
      <c r="I36" s="478"/>
      <c r="J36" s="478"/>
      <c r="K36" s="478"/>
      <c r="L36" s="478"/>
      <c r="M36" s="478"/>
      <c r="N36" s="479"/>
      <c r="O36" s="139"/>
      <c r="P36" s="125"/>
      <c r="Q36" s="469" t="str">
        <f>IF(Roster!$M$6=0&amp;"+","",Roster!$M$6)</f>
        <v/>
      </c>
      <c r="R36" s="133"/>
      <c r="S36" s="477"/>
      <c r="T36" s="478"/>
      <c r="U36" s="478"/>
      <c r="V36" s="478"/>
      <c r="W36" s="478"/>
      <c r="X36" s="478"/>
      <c r="Y36" s="478"/>
      <c r="Z36" s="478"/>
      <c r="AA36" s="478"/>
      <c r="AB36" s="478"/>
      <c r="AC36" s="479"/>
      <c r="AD36" s="139"/>
      <c r="AE36" s="125"/>
      <c r="AF36" s="469" t="str">
        <f>IF(Roster!$M$7=0&amp;"+","",Roster!$M$7)</f>
        <v/>
      </c>
      <c r="AG36" s="133"/>
      <c r="AH36" s="477"/>
      <c r="AI36" s="478"/>
      <c r="AJ36" s="478"/>
      <c r="AK36" s="478"/>
      <c r="AL36" s="478"/>
      <c r="AM36" s="478"/>
      <c r="AN36" s="478"/>
      <c r="AO36" s="478"/>
      <c r="AP36" s="478"/>
      <c r="AQ36" s="478"/>
      <c r="AR36" s="479"/>
      <c r="AS36" s="139"/>
      <c r="AT36" s="125"/>
      <c r="AU36" s="469" t="str">
        <f>IF(Roster!$M$8=0&amp;"+","",Roster!$M$8)</f>
        <v/>
      </c>
      <c r="AV36" s="133"/>
      <c r="AW36" s="477"/>
      <c r="AX36" s="478"/>
      <c r="AY36" s="478"/>
      <c r="AZ36" s="478"/>
      <c r="BA36" s="478"/>
      <c r="BB36" s="478"/>
      <c r="BC36" s="478"/>
      <c r="BD36" s="478"/>
      <c r="BE36" s="478"/>
      <c r="BF36" s="478"/>
      <c r="BG36" s="479"/>
      <c r="BH36" s="139"/>
    </row>
    <row r="37" spans="1:60" ht="4.5" customHeight="1">
      <c r="A37" s="125"/>
      <c r="B37" s="470"/>
      <c r="C37" s="131"/>
      <c r="D37" s="125"/>
      <c r="E37" s="138"/>
      <c r="F37" s="125"/>
      <c r="G37" s="138"/>
      <c r="H37" s="125"/>
      <c r="I37" s="138"/>
      <c r="J37" s="125"/>
      <c r="K37" s="138"/>
      <c r="L37" s="125"/>
      <c r="M37" s="138"/>
      <c r="N37" s="125"/>
      <c r="O37" s="139"/>
      <c r="P37" s="125"/>
      <c r="Q37" s="470"/>
      <c r="R37" s="131"/>
      <c r="S37" s="125"/>
      <c r="T37" s="138"/>
      <c r="U37" s="125"/>
      <c r="V37" s="138"/>
      <c r="W37" s="125"/>
      <c r="X37" s="138"/>
      <c r="Y37" s="125"/>
      <c r="Z37" s="138"/>
      <c r="AA37" s="125"/>
      <c r="AB37" s="138"/>
      <c r="AC37" s="125"/>
      <c r="AD37" s="139"/>
      <c r="AE37" s="125"/>
      <c r="AF37" s="470"/>
      <c r="AG37" s="131"/>
      <c r="AH37" s="125"/>
      <c r="AI37" s="138"/>
      <c r="AJ37" s="125"/>
      <c r="AK37" s="138"/>
      <c r="AL37" s="125"/>
      <c r="AM37" s="138"/>
      <c r="AN37" s="125"/>
      <c r="AO37" s="138"/>
      <c r="AP37" s="125"/>
      <c r="AQ37" s="138"/>
      <c r="AR37" s="125"/>
      <c r="AS37" s="139"/>
      <c r="AT37" s="125"/>
      <c r="AU37" s="470"/>
      <c r="AV37" s="131"/>
      <c r="AW37" s="125"/>
      <c r="AX37" s="138"/>
      <c r="AY37" s="125"/>
      <c r="AZ37" s="138"/>
      <c r="BA37" s="125"/>
      <c r="BB37" s="138"/>
      <c r="BC37" s="125"/>
      <c r="BD37" s="138"/>
      <c r="BE37" s="125"/>
      <c r="BF37" s="138"/>
      <c r="BG37" s="125"/>
      <c r="BH37" s="139"/>
    </row>
    <row r="38" spans="1:60" ht="11.25" customHeight="1">
      <c r="A38" s="125"/>
      <c r="B38" s="470"/>
      <c r="C38" s="131"/>
      <c r="D38" s="480" t="str">
        <f>IF(Roster!$J$24="Italiano","ABILITÀ &amp; TRATTI",(IF(Roster!$J$24="Español","HABILIDADES Y RASGOS","SKILLS &amp; TRAITS")))</f>
        <v>SKILLS &amp; TRAITS</v>
      </c>
      <c r="E38" s="481"/>
      <c r="F38" s="481"/>
      <c r="G38" s="481"/>
      <c r="H38" s="481"/>
      <c r="I38" s="481"/>
      <c r="J38" s="481"/>
      <c r="K38" s="481"/>
      <c r="L38" s="481"/>
      <c r="M38" s="481"/>
      <c r="N38" s="482"/>
      <c r="O38" s="139"/>
      <c r="P38" s="125"/>
      <c r="Q38" s="470"/>
      <c r="R38" s="131"/>
      <c r="S38" s="480" t="str">
        <f>IF(Roster!$J$24="Italiano","ABILITÀ &amp; TRATTI",(IF(Roster!$J$24="Español","HABILIDADES Y RASGOS","SKILLS &amp; TRAITS")))</f>
        <v>SKILLS &amp; TRAITS</v>
      </c>
      <c r="T38" s="481"/>
      <c r="U38" s="481"/>
      <c r="V38" s="481"/>
      <c r="W38" s="481"/>
      <c r="X38" s="481"/>
      <c r="Y38" s="481"/>
      <c r="Z38" s="481"/>
      <c r="AA38" s="481"/>
      <c r="AB38" s="481"/>
      <c r="AC38" s="482"/>
      <c r="AD38" s="139"/>
      <c r="AE38" s="125"/>
      <c r="AF38" s="470"/>
      <c r="AG38" s="131"/>
      <c r="AH38" s="480" t="str">
        <f>IF(Roster!$J$24="Italiano","ABILITÀ &amp; TRATTI",(IF(Roster!$J$24="Español","HABILIDADES Y RASGOS","SKILLS &amp; TRAITS")))</f>
        <v>SKILLS &amp; TRAITS</v>
      </c>
      <c r="AI38" s="481"/>
      <c r="AJ38" s="481"/>
      <c r="AK38" s="481"/>
      <c r="AL38" s="481"/>
      <c r="AM38" s="481"/>
      <c r="AN38" s="481"/>
      <c r="AO38" s="481"/>
      <c r="AP38" s="481"/>
      <c r="AQ38" s="481"/>
      <c r="AR38" s="482"/>
      <c r="AS38" s="139"/>
      <c r="AT38" s="125"/>
      <c r="AU38" s="470"/>
      <c r="AV38" s="131"/>
      <c r="AW38" s="480" t="str">
        <f>IF(Roster!$J$24="Italiano","ABILITÀ &amp; TRATTI",(IF(Roster!$J$24="Español","HABILIDADES Y RASGOS","SKILLS &amp; TRAITS")))</f>
        <v>SKILLS &amp; TRAITS</v>
      </c>
      <c r="AX38" s="481"/>
      <c r="AY38" s="481"/>
      <c r="AZ38" s="481"/>
      <c r="BA38" s="481"/>
      <c r="BB38" s="481"/>
      <c r="BC38" s="481"/>
      <c r="BD38" s="481"/>
      <c r="BE38" s="481"/>
      <c r="BF38" s="481"/>
      <c r="BG38" s="482"/>
      <c r="BH38" s="139"/>
    </row>
    <row r="39" spans="1:60" ht="15" customHeight="1">
      <c r="A39" s="125"/>
      <c r="B39" s="470"/>
      <c r="C39" s="134"/>
      <c r="D39" s="483" t="str">
        <f>IF(Roster!$O$5=0,"",Roster!$O$5&amp;Roster!BF5)</f>
        <v/>
      </c>
      <c r="E39" s="447"/>
      <c r="F39" s="447"/>
      <c r="G39" s="447"/>
      <c r="H39" s="447"/>
      <c r="I39" s="447"/>
      <c r="J39" s="447"/>
      <c r="K39" s="447"/>
      <c r="L39" s="447"/>
      <c r="M39" s="447"/>
      <c r="N39" s="484"/>
      <c r="O39" s="139"/>
      <c r="P39" s="125"/>
      <c r="Q39" s="470"/>
      <c r="R39" s="134"/>
      <c r="S39" s="483" t="str">
        <f>IF(Roster!$O$6=0,"",Roster!$O$6&amp;Roster!BF6)</f>
        <v/>
      </c>
      <c r="T39" s="447"/>
      <c r="U39" s="447"/>
      <c r="V39" s="447"/>
      <c r="W39" s="447"/>
      <c r="X39" s="447"/>
      <c r="Y39" s="447"/>
      <c r="Z39" s="447"/>
      <c r="AA39" s="447"/>
      <c r="AB39" s="447"/>
      <c r="AC39" s="484"/>
      <c r="AD39" s="139"/>
      <c r="AE39" s="125"/>
      <c r="AF39" s="470"/>
      <c r="AG39" s="134"/>
      <c r="AH39" s="483" t="str">
        <f>IF(Roster!$O$7=0,"",Roster!$O$7&amp;Roster!BF7)</f>
        <v/>
      </c>
      <c r="AI39" s="447"/>
      <c r="AJ39" s="447"/>
      <c r="AK39" s="447"/>
      <c r="AL39" s="447"/>
      <c r="AM39" s="447"/>
      <c r="AN39" s="447"/>
      <c r="AO39" s="447"/>
      <c r="AP39" s="447"/>
      <c r="AQ39" s="447"/>
      <c r="AR39" s="484"/>
      <c r="AS39" s="139"/>
      <c r="AT39" s="125"/>
      <c r="AU39" s="470"/>
      <c r="AV39" s="134"/>
      <c r="AW39" s="483" t="str">
        <f>IF(Roster!$O$8=0,"",Roster!$O$8&amp;Roster!BF8)</f>
        <v/>
      </c>
      <c r="AX39" s="447"/>
      <c r="AY39" s="447"/>
      <c r="AZ39" s="447"/>
      <c r="BA39" s="447"/>
      <c r="BB39" s="447"/>
      <c r="BC39" s="447"/>
      <c r="BD39" s="447"/>
      <c r="BE39" s="447"/>
      <c r="BF39" s="447"/>
      <c r="BG39" s="484"/>
      <c r="BH39" s="139"/>
    </row>
    <row r="40" spans="1:60" ht="4.5" customHeight="1">
      <c r="A40" s="125"/>
      <c r="B40" s="471"/>
      <c r="C40" s="134"/>
      <c r="D40" s="475"/>
      <c r="E40" s="356"/>
      <c r="F40" s="356"/>
      <c r="G40" s="356"/>
      <c r="H40" s="356"/>
      <c r="I40" s="356"/>
      <c r="J40" s="356"/>
      <c r="K40" s="356"/>
      <c r="L40" s="356"/>
      <c r="M40" s="356"/>
      <c r="N40" s="476"/>
      <c r="O40" s="139"/>
      <c r="P40" s="125"/>
      <c r="Q40" s="471"/>
      <c r="R40" s="134"/>
      <c r="S40" s="475"/>
      <c r="T40" s="356"/>
      <c r="U40" s="356"/>
      <c r="V40" s="356"/>
      <c r="W40" s="356"/>
      <c r="X40" s="356"/>
      <c r="Y40" s="356"/>
      <c r="Z40" s="356"/>
      <c r="AA40" s="356"/>
      <c r="AB40" s="356"/>
      <c r="AC40" s="476"/>
      <c r="AD40" s="139"/>
      <c r="AE40" s="125"/>
      <c r="AF40" s="471"/>
      <c r="AG40" s="134"/>
      <c r="AH40" s="475"/>
      <c r="AI40" s="356"/>
      <c r="AJ40" s="356"/>
      <c r="AK40" s="356"/>
      <c r="AL40" s="356"/>
      <c r="AM40" s="356"/>
      <c r="AN40" s="356"/>
      <c r="AO40" s="356"/>
      <c r="AP40" s="356"/>
      <c r="AQ40" s="356"/>
      <c r="AR40" s="476"/>
      <c r="AS40" s="139"/>
      <c r="AT40" s="125"/>
      <c r="AU40" s="471"/>
      <c r="AV40" s="134"/>
      <c r="AW40" s="475"/>
      <c r="AX40" s="356"/>
      <c r="AY40" s="356"/>
      <c r="AZ40" s="356"/>
      <c r="BA40" s="356"/>
      <c r="BB40" s="356"/>
      <c r="BC40" s="356"/>
      <c r="BD40" s="356"/>
      <c r="BE40" s="356"/>
      <c r="BF40" s="356"/>
      <c r="BG40" s="476"/>
      <c r="BH40" s="139"/>
    </row>
    <row r="41" spans="1:60" ht="11.25" customHeight="1">
      <c r="A41" s="125"/>
      <c r="B41" s="132" t="str">
        <f>IF(Roster!$N$1=0,"",Roster!$N$1)</f>
        <v>AV</v>
      </c>
      <c r="C41" s="133"/>
      <c r="D41" s="475"/>
      <c r="E41" s="356"/>
      <c r="F41" s="356"/>
      <c r="G41" s="356"/>
      <c r="H41" s="356"/>
      <c r="I41" s="356"/>
      <c r="J41" s="356"/>
      <c r="K41" s="356"/>
      <c r="L41" s="356"/>
      <c r="M41" s="356"/>
      <c r="N41" s="476"/>
      <c r="O41" s="128"/>
      <c r="P41" s="125"/>
      <c r="Q41" s="132" t="str">
        <f>IF(Roster!$N$1=0,"",Roster!$N$1)</f>
        <v>AV</v>
      </c>
      <c r="R41" s="133"/>
      <c r="S41" s="475"/>
      <c r="T41" s="356"/>
      <c r="U41" s="356"/>
      <c r="V41" s="356"/>
      <c r="W41" s="356"/>
      <c r="X41" s="356"/>
      <c r="Y41" s="356"/>
      <c r="Z41" s="356"/>
      <c r="AA41" s="356"/>
      <c r="AB41" s="356"/>
      <c r="AC41" s="476"/>
      <c r="AD41" s="128"/>
      <c r="AE41" s="125"/>
      <c r="AF41" s="132" t="str">
        <f>IF(Roster!$N$1=0,"",Roster!$N$1)</f>
        <v>AV</v>
      </c>
      <c r="AG41" s="133"/>
      <c r="AH41" s="475"/>
      <c r="AI41" s="356"/>
      <c r="AJ41" s="356"/>
      <c r="AK41" s="356"/>
      <c r="AL41" s="356"/>
      <c r="AM41" s="356"/>
      <c r="AN41" s="356"/>
      <c r="AO41" s="356"/>
      <c r="AP41" s="356"/>
      <c r="AQ41" s="356"/>
      <c r="AR41" s="476"/>
      <c r="AS41" s="128"/>
      <c r="AT41" s="125"/>
      <c r="AU41" s="132" t="str">
        <f>IF(Roster!$N$1=0,"",Roster!$N$1)</f>
        <v>AV</v>
      </c>
      <c r="AV41" s="133"/>
      <c r="AW41" s="475"/>
      <c r="AX41" s="356"/>
      <c r="AY41" s="356"/>
      <c r="AZ41" s="356"/>
      <c r="BA41" s="356"/>
      <c r="BB41" s="356"/>
      <c r="BC41" s="356"/>
      <c r="BD41" s="356"/>
      <c r="BE41" s="356"/>
      <c r="BF41" s="356"/>
      <c r="BG41" s="476"/>
      <c r="BH41" s="128"/>
    </row>
    <row r="42" spans="1:60" ht="15" customHeight="1">
      <c r="A42" s="125"/>
      <c r="B42" s="469" t="str">
        <f>IF(Roster!$N$5=0&amp;"+","",Roster!$N$5)</f>
        <v/>
      </c>
      <c r="C42" s="134"/>
      <c r="D42" s="475"/>
      <c r="E42" s="356"/>
      <c r="F42" s="356"/>
      <c r="G42" s="356"/>
      <c r="H42" s="356"/>
      <c r="I42" s="356"/>
      <c r="J42" s="356"/>
      <c r="K42" s="356"/>
      <c r="L42" s="356"/>
      <c r="M42" s="356"/>
      <c r="N42" s="476"/>
      <c r="O42" s="140"/>
      <c r="P42" s="125"/>
      <c r="Q42" s="469" t="str">
        <f>IF(Roster!$N$6=0&amp;"+","",Roster!$N$6)</f>
        <v/>
      </c>
      <c r="R42" s="134"/>
      <c r="S42" s="475"/>
      <c r="T42" s="356"/>
      <c r="U42" s="356"/>
      <c r="V42" s="356"/>
      <c r="W42" s="356"/>
      <c r="X42" s="356"/>
      <c r="Y42" s="356"/>
      <c r="Z42" s="356"/>
      <c r="AA42" s="356"/>
      <c r="AB42" s="356"/>
      <c r="AC42" s="476"/>
      <c r="AD42" s="140"/>
      <c r="AE42" s="125"/>
      <c r="AF42" s="469" t="str">
        <f>IF(Roster!$N$7=0&amp;"+","",Roster!$N$7)</f>
        <v/>
      </c>
      <c r="AG42" s="134"/>
      <c r="AH42" s="475"/>
      <c r="AI42" s="356"/>
      <c r="AJ42" s="356"/>
      <c r="AK42" s="356"/>
      <c r="AL42" s="356"/>
      <c r="AM42" s="356"/>
      <c r="AN42" s="356"/>
      <c r="AO42" s="356"/>
      <c r="AP42" s="356"/>
      <c r="AQ42" s="356"/>
      <c r="AR42" s="476"/>
      <c r="AS42" s="140"/>
      <c r="AT42" s="125"/>
      <c r="AU42" s="469" t="str">
        <f>IF(Roster!$N$8=0&amp;"+","",Roster!$N$8)</f>
        <v/>
      </c>
      <c r="AV42" s="134"/>
      <c r="AW42" s="475"/>
      <c r="AX42" s="356"/>
      <c r="AY42" s="356"/>
      <c r="AZ42" s="356"/>
      <c r="BA42" s="356"/>
      <c r="BB42" s="356"/>
      <c r="BC42" s="356"/>
      <c r="BD42" s="356"/>
      <c r="BE42" s="356"/>
      <c r="BF42" s="356"/>
      <c r="BG42" s="476"/>
      <c r="BH42" s="140"/>
    </row>
    <row r="43" spans="1:60" ht="4.5" customHeight="1">
      <c r="A43" s="125"/>
      <c r="B43" s="470"/>
      <c r="C43" s="134"/>
      <c r="D43" s="475"/>
      <c r="E43" s="356"/>
      <c r="F43" s="356"/>
      <c r="G43" s="356"/>
      <c r="H43" s="356"/>
      <c r="I43" s="356"/>
      <c r="J43" s="356"/>
      <c r="K43" s="356"/>
      <c r="L43" s="356"/>
      <c r="M43" s="356"/>
      <c r="N43" s="476"/>
      <c r="O43" s="140"/>
      <c r="P43" s="125"/>
      <c r="Q43" s="470"/>
      <c r="R43" s="134"/>
      <c r="S43" s="475"/>
      <c r="T43" s="356"/>
      <c r="U43" s="356"/>
      <c r="V43" s="356"/>
      <c r="W43" s="356"/>
      <c r="X43" s="356"/>
      <c r="Y43" s="356"/>
      <c r="Z43" s="356"/>
      <c r="AA43" s="356"/>
      <c r="AB43" s="356"/>
      <c r="AC43" s="476"/>
      <c r="AD43" s="140"/>
      <c r="AE43" s="125"/>
      <c r="AF43" s="470"/>
      <c r="AG43" s="134"/>
      <c r="AH43" s="475"/>
      <c r="AI43" s="356"/>
      <c r="AJ43" s="356"/>
      <c r="AK43" s="356"/>
      <c r="AL43" s="356"/>
      <c r="AM43" s="356"/>
      <c r="AN43" s="356"/>
      <c r="AO43" s="356"/>
      <c r="AP43" s="356"/>
      <c r="AQ43" s="356"/>
      <c r="AR43" s="476"/>
      <c r="AS43" s="140"/>
      <c r="AT43" s="125"/>
      <c r="AU43" s="470"/>
      <c r="AV43" s="134"/>
      <c r="AW43" s="475"/>
      <c r="AX43" s="356"/>
      <c r="AY43" s="356"/>
      <c r="AZ43" s="356"/>
      <c r="BA43" s="356"/>
      <c r="BB43" s="356"/>
      <c r="BC43" s="356"/>
      <c r="BD43" s="356"/>
      <c r="BE43" s="356"/>
      <c r="BF43" s="356"/>
      <c r="BG43" s="476"/>
      <c r="BH43" s="140"/>
    </row>
    <row r="44" spans="1:60" ht="11.25" customHeight="1">
      <c r="A44" s="125"/>
      <c r="B44" s="470"/>
      <c r="C44" s="134"/>
      <c r="D44" s="475"/>
      <c r="E44" s="356"/>
      <c r="F44" s="356"/>
      <c r="G44" s="356"/>
      <c r="H44" s="356"/>
      <c r="I44" s="356"/>
      <c r="J44" s="356"/>
      <c r="K44" s="356"/>
      <c r="L44" s="356"/>
      <c r="M44" s="356"/>
      <c r="N44" s="476"/>
      <c r="O44" s="140"/>
      <c r="P44" s="125"/>
      <c r="Q44" s="470"/>
      <c r="R44" s="134"/>
      <c r="S44" s="475"/>
      <c r="T44" s="356"/>
      <c r="U44" s="356"/>
      <c r="V44" s="356"/>
      <c r="W44" s="356"/>
      <c r="X44" s="356"/>
      <c r="Y44" s="356"/>
      <c r="Z44" s="356"/>
      <c r="AA44" s="356"/>
      <c r="AB44" s="356"/>
      <c r="AC44" s="476"/>
      <c r="AD44" s="140"/>
      <c r="AE44" s="125"/>
      <c r="AF44" s="470"/>
      <c r="AG44" s="134"/>
      <c r="AH44" s="475"/>
      <c r="AI44" s="356"/>
      <c r="AJ44" s="356"/>
      <c r="AK44" s="356"/>
      <c r="AL44" s="356"/>
      <c r="AM44" s="356"/>
      <c r="AN44" s="356"/>
      <c r="AO44" s="356"/>
      <c r="AP44" s="356"/>
      <c r="AQ44" s="356"/>
      <c r="AR44" s="476"/>
      <c r="AS44" s="140"/>
      <c r="AT44" s="125"/>
      <c r="AU44" s="470"/>
      <c r="AV44" s="134"/>
      <c r="AW44" s="475"/>
      <c r="AX44" s="356"/>
      <c r="AY44" s="356"/>
      <c r="AZ44" s="356"/>
      <c r="BA44" s="356"/>
      <c r="BB44" s="356"/>
      <c r="BC44" s="356"/>
      <c r="BD44" s="356"/>
      <c r="BE44" s="356"/>
      <c r="BF44" s="356"/>
      <c r="BG44" s="476"/>
      <c r="BH44" s="140"/>
    </row>
    <row r="45" spans="1:60" ht="6.75" customHeight="1">
      <c r="A45" s="125"/>
      <c r="B45" s="471"/>
      <c r="C45" s="134"/>
      <c r="D45" s="475"/>
      <c r="E45" s="356"/>
      <c r="F45" s="356"/>
      <c r="G45" s="356"/>
      <c r="H45" s="356"/>
      <c r="I45" s="356"/>
      <c r="J45" s="356"/>
      <c r="K45" s="356"/>
      <c r="L45" s="356"/>
      <c r="M45" s="356"/>
      <c r="N45" s="476"/>
      <c r="O45" s="140"/>
      <c r="P45" s="125"/>
      <c r="Q45" s="471"/>
      <c r="R45" s="134"/>
      <c r="S45" s="475"/>
      <c r="T45" s="356"/>
      <c r="U45" s="356"/>
      <c r="V45" s="356"/>
      <c r="W45" s="356"/>
      <c r="X45" s="356"/>
      <c r="Y45" s="356"/>
      <c r="Z45" s="356"/>
      <c r="AA45" s="356"/>
      <c r="AB45" s="356"/>
      <c r="AC45" s="476"/>
      <c r="AD45" s="140"/>
      <c r="AE45" s="125"/>
      <c r="AF45" s="471"/>
      <c r="AG45" s="134"/>
      <c r="AH45" s="475"/>
      <c r="AI45" s="356"/>
      <c r="AJ45" s="356"/>
      <c r="AK45" s="356"/>
      <c r="AL45" s="356"/>
      <c r="AM45" s="356"/>
      <c r="AN45" s="356"/>
      <c r="AO45" s="356"/>
      <c r="AP45" s="356"/>
      <c r="AQ45" s="356"/>
      <c r="AR45" s="476"/>
      <c r="AS45" s="140"/>
      <c r="AT45" s="125"/>
      <c r="AU45" s="471"/>
      <c r="AV45" s="134"/>
      <c r="AW45" s="475"/>
      <c r="AX45" s="356"/>
      <c r="AY45" s="356"/>
      <c r="AZ45" s="356"/>
      <c r="BA45" s="356"/>
      <c r="BB45" s="356"/>
      <c r="BC45" s="356"/>
      <c r="BD45" s="356"/>
      <c r="BE45" s="356"/>
      <c r="BF45" s="356"/>
      <c r="BG45" s="476"/>
      <c r="BH45" s="140"/>
    </row>
    <row r="46" spans="1:60" ht="11.25" customHeight="1">
      <c r="A46" s="125"/>
      <c r="B46" s="132" t="str">
        <f>IF(Roster!$AN$1=0,"",Roster!$AN$1)</f>
        <v>COST</v>
      </c>
      <c r="C46" s="133"/>
      <c r="D46" s="475"/>
      <c r="E46" s="356"/>
      <c r="F46" s="356"/>
      <c r="G46" s="356"/>
      <c r="H46" s="356"/>
      <c r="I46" s="356"/>
      <c r="J46" s="356"/>
      <c r="K46" s="356"/>
      <c r="L46" s="356"/>
      <c r="M46" s="356"/>
      <c r="N46" s="476"/>
      <c r="O46" s="143"/>
      <c r="P46" s="125"/>
      <c r="Q46" s="132" t="str">
        <f>IF(Roster!$AN$1=0,"",Roster!$AN$1)</f>
        <v>COST</v>
      </c>
      <c r="R46" s="133"/>
      <c r="S46" s="475"/>
      <c r="T46" s="356"/>
      <c r="U46" s="356"/>
      <c r="V46" s="356"/>
      <c r="W46" s="356"/>
      <c r="X46" s="356"/>
      <c r="Y46" s="356"/>
      <c r="Z46" s="356"/>
      <c r="AA46" s="356"/>
      <c r="AB46" s="356"/>
      <c r="AC46" s="476"/>
      <c r="AD46" s="143"/>
      <c r="AE46" s="125"/>
      <c r="AF46" s="132" t="str">
        <f>IF(Roster!$AN$1=0,"",Roster!$AN$1)</f>
        <v>COST</v>
      </c>
      <c r="AG46" s="133"/>
      <c r="AH46" s="475"/>
      <c r="AI46" s="356"/>
      <c r="AJ46" s="356"/>
      <c r="AK46" s="356"/>
      <c r="AL46" s="356"/>
      <c r="AM46" s="356"/>
      <c r="AN46" s="356"/>
      <c r="AO46" s="356"/>
      <c r="AP46" s="356"/>
      <c r="AQ46" s="356"/>
      <c r="AR46" s="476"/>
      <c r="AS46" s="143"/>
      <c r="AT46" s="125"/>
      <c r="AU46" s="132" t="str">
        <f>IF(Roster!$AN$1=0,"",Roster!$AN$1)</f>
        <v>COST</v>
      </c>
      <c r="AV46" s="133"/>
      <c r="AW46" s="475"/>
      <c r="AX46" s="356"/>
      <c r="AY46" s="356"/>
      <c r="AZ46" s="356"/>
      <c r="BA46" s="356"/>
      <c r="BB46" s="356"/>
      <c r="BC46" s="356"/>
      <c r="BD46" s="356"/>
      <c r="BE46" s="356"/>
      <c r="BF46" s="356"/>
      <c r="BG46" s="476"/>
      <c r="BH46" s="143"/>
    </row>
    <row r="47" spans="1:60" ht="34.5" customHeight="1">
      <c r="A47" s="125"/>
      <c r="B47" s="145" t="str">
        <f>IF(Roster!$AN$5=0,"",Roster!$AN$5)</f>
        <v/>
      </c>
      <c r="C47" s="146"/>
      <c r="D47" s="477"/>
      <c r="E47" s="478"/>
      <c r="F47" s="478"/>
      <c r="G47" s="478"/>
      <c r="H47" s="478"/>
      <c r="I47" s="478"/>
      <c r="J47" s="478"/>
      <c r="K47" s="478"/>
      <c r="L47" s="478"/>
      <c r="M47" s="478"/>
      <c r="N47" s="479"/>
      <c r="O47" s="143"/>
      <c r="P47" s="125"/>
      <c r="Q47" s="145" t="str">
        <f>IF(Roster!$AN$6=0,"",Roster!$AN$6)</f>
        <v/>
      </c>
      <c r="R47" s="146"/>
      <c r="S47" s="477"/>
      <c r="T47" s="478"/>
      <c r="U47" s="478"/>
      <c r="V47" s="478"/>
      <c r="W47" s="478"/>
      <c r="X47" s="478"/>
      <c r="Y47" s="478"/>
      <c r="Z47" s="478"/>
      <c r="AA47" s="478"/>
      <c r="AB47" s="478"/>
      <c r="AC47" s="479"/>
      <c r="AD47" s="143"/>
      <c r="AE47" s="125"/>
      <c r="AF47" s="145" t="str">
        <f>IF(Roster!$AN$7=0,"",Roster!$AN$7)</f>
        <v/>
      </c>
      <c r="AG47" s="146"/>
      <c r="AH47" s="477"/>
      <c r="AI47" s="478"/>
      <c r="AJ47" s="478"/>
      <c r="AK47" s="478"/>
      <c r="AL47" s="478"/>
      <c r="AM47" s="478"/>
      <c r="AN47" s="478"/>
      <c r="AO47" s="478"/>
      <c r="AP47" s="478"/>
      <c r="AQ47" s="478"/>
      <c r="AR47" s="479"/>
      <c r="AS47" s="143"/>
      <c r="AT47" s="125"/>
      <c r="AU47" s="145" t="str">
        <f>IF(Roster!$AN$8=0,"",Roster!$AN$8)</f>
        <v/>
      </c>
      <c r="AV47" s="146"/>
      <c r="AW47" s="477"/>
      <c r="AX47" s="478"/>
      <c r="AY47" s="478"/>
      <c r="AZ47" s="478"/>
      <c r="BA47" s="478"/>
      <c r="BB47" s="478"/>
      <c r="BC47" s="478"/>
      <c r="BD47" s="478"/>
      <c r="BE47" s="478"/>
      <c r="BF47" s="478"/>
      <c r="BG47" s="479"/>
      <c r="BH47" s="143"/>
    </row>
    <row r="48" spans="1:60" ht="4.5" customHeight="1">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c r="A50" s="125"/>
      <c r="B50" s="489" t="str">
        <f>IF(Roster!$A$9=0,"","#"&amp;Roster!$A$9)</f>
        <v>#8</v>
      </c>
      <c r="C50" s="126"/>
      <c r="D50" s="126"/>
      <c r="E50" s="126"/>
      <c r="F50" s="126"/>
      <c r="G50" s="126"/>
      <c r="H50" s="126"/>
      <c r="I50" s="126"/>
      <c r="J50" s="126"/>
      <c r="K50" s="126"/>
      <c r="L50" s="126"/>
      <c r="M50" s="126"/>
      <c r="N50" s="126"/>
      <c r="O50" s="127"/>
      <c r="P50" s="125"/>
      <c r="Q50" s="489" t="str">
        <f>IF(Roster!$A$10=0,"","#"&amp;Roster!$A$10)</f>
        <v>#9</v>
      </c>
      <c r="R50" s="126"/>
      <c r="S50" s="126"/>
      <c r="T50" s="126"/>
      <c r="U50" s="126"/>
      <c r="V50" s="126"/>
      <c r="W50" s="126"/>
      <c r="X50" s="126"/>
      <c r="Y50" s="126"/>
      <c r="Z50" s="126"/>
      <c r="AA50" s="126"/>
      <c r="AB50" s="126"/>
      <c r="AC50" s="126"/>
      <c r="AD50" s="127"/>
      <c r="AE50" s="125"/>
      <c r="AF50" s="489" t="str">
        <f>IF(Roster!$A$11=0,"","#"&amp;Roster!$A$11)</f>
        <v>#10</v>
      </c>
      <c r="AG50" s="126"/>
      <c r="AH50" s="126"/>
      <c r="AI50" s="126"/>
      <c r="AJ50" s="126"/>
      <c r="AK50" s="126"/>
      <c r="AL50" s="126"/>
      <c r="AM50" s="126"/>
      <c r="AN50" s="126"/>
      <c r="AO50" s="126"/>
      <c r="AP50" s="126"/>
      <c r="AQ50" s="126"/>
      <c r="AR50" s="126"/>
      <c r="AS50" s="127"/>
      <c r="AT50" s="125"/>
      <c r="AU50" s="489" t="str">
        <f>IF(Roster!$A$12=0,"","#"&amp;Roster!$A$12)</f>
        <v>#11</v>
      </c>
      <c r="AV50" s="126"/>
      <c r="AW50" s="126"/>
      <c r="AX50" s="126"/>
      <c r="AY50" s="126"/>
      <c r="AZ50" s="126"/>
      <c r="BA50" s="126"/>
      <c r="BB50" s="126"/>
      <c r="BC50" s="126"/>
      <c r="BD50" s="126"/>
      <c r="BE50" s="126"/>
      <c r="BF50" s="126"/>
      <c r="BG50" s="126"/>
      <c r="BH50" s="127"/>
    </row>
    <row r="51" spans="1:60" ht="15" customHeight="1">
      <c r="A51" s="125"/>
      <c r="B51" s="490"/>
      <c r="C51" s="472" t="str">
        <f>IF(Roster!$B$9=0,"",Roster!$B$9)</f>
        <v>Pungolo</v>
      </c>
      <c r="D51" s="394"/>
      <c r="E51" s="394"/>
      <c r="F51" s="394"/>
      <c r="G51" s="394"/>
      <c r="H51" s="394"/>
      <c r="I51" s="394"/>
      <c r="J51" s="394"/>
      <c r="K51" s="394"/>
      <c r="L51" s="394"/>
      <c r="M51" s="394"/>
      <c r="N51" s="395"/>
      <c r="O51" s="128"/>
      <c r="P51" s="125"/>
      <c r="Q51" s="490"/>
      <c r="R51" s="472" t="str">
        <f>IF(Roster!$B$10=0,"",Roster!$B$10)</f>
        <v>Shusui</v>
      </c>
      <c r="S51" s="394"/>
      <c r="T51" s="394"/>
      <c r="U51" s="394"/>
      <c r="V51" s="394"/>
      <c r="W51" s="394"/>
      <c r="X51" s="394"/>
      <c r="Y51" s="394"/>
      <c r="Z51" s="394"/>
      <c r="AA51" s="394"/>
      <c r="AB51" s="394"/>
      <c r="AC51" s="395"/>
      <c r="AD51" s="128"/>
      <c r="AE51" s="125"/>
      <c r="AF51" s="490"/>
      <c r="AG51" s="472" t="str">
        <f>IF(Roster!$B$11=0,"",Roster!$B$11)</f>
        <v>Narsil</v>
      </c>
      <c r="AH51" s="394"/>
      <c r="AI51" s="394"/>
      <c r="AJ51" s="394"/>
      <c r="AK51" s="394"/>
      <c r="AL51" s="394"/>
      <c r="AM51" s="394"/>
      <c r="AN51" s="394"/>
      <c r="AO51" s="394"/>
      <c r="AP51" s="394"/>
      <c r="AQ51" s="394"/>
      <c r="AR51" s="395"/>
      <c r="AS51" s="128"/>
      <c r="AT51" s="125"/>
      <c r="AU51" s="490"/>
      <c r="AV51" s="472" t="str">
        <f>IF(Roster!$B$12=0,"",Roster!$B$12)</f>
        <v>Durlindana</v>
      </c>
      <c r="AW51" s="394"/>
      <c r="AX51" s="394"/>
      <c r="AY51" s="394"/>
      <c r="AZ51" s="394"/>
      <c r="BA51" s="394"/>
      <c r="BB51" s="394"/>
      <c r="BC51" s="394"/>
      <c r="BD51" s="394"/>
      <c r="BE51" s="394"/>
      <c r="BF51" s="394"/>
      <c r="BG51" s="395"/>
      <c r="BH51" s="128"/>
    </row>
    <row r="52" spans="1:60" ht="11.25" customHeight="1">
      <c r="A52" s="125"/>
      <c r="B52" s="491"/>
      <c r="C52" s="473" t="str">
        <f>IF(Roster!$C$9=0,"",Roster!$C$9)</f>
        <v>Lineman</v>
      </c>
      <c r="D52" s="394"/>
      <c r="E52" s="394"/>
      <c r="F52" s="394"/>
      <c r="G52" s="394"/>
      <c r="H52" s="394"/>
      <c r="I52" s="394"/>
      <c r="J52" s="394"/>
      <c r="K52" s="394"/>
      <c r="L52" s="394"/>
      <c r="M52" s="394"/>
      <c r="N52" s="395"/>
      <c r="O52" s="129"/>
      <c r="P52" s="125"/>
      <c r="Q52" s="491"/>
      <c r="R52" s="473" t="str">
        <f>IF(Roster!$C$10=0,"",Roster!$C$10)</f>
        <v>Lineman</v>
      </c>
      <c r="S52" s="394"/>
      <c r="T52" s="394"/>
      <c r="U52" s="394"/>
      <c r="V52" s="394"/>
      <c r="W52" s="394"/>
      <c r="X52" s="394"/>
      <c r="Y52" s="394"/>
      <c r="Z52" s="394"/>
      <c r="AA52" s="394"/>
      <c r="AB52" s="394"/>
      <c r="AC52" s="395"/>
      <c r="AD52" s="129"/>
      <c r="AE52" s="125"/>
      <c r="AF52" s="491"/>
      <c r="AG52" s="473" t="str">
        <f>IF(Roster!$C$11=0,"",Roster!$C$11)</f>
        <v>Lineman</v>
      </c>
      <c r="AH52" s="394"/>
      <c r="AI52" s="394"/>
      <c r="AJ52" s="394"/>
      <c r="AK52" s="394"/>
      <c r="AL52" s="394"/>
      <c r="AM52" s="394"/>
      <c r="AN52" s="394"/>
      <c r="AO52" s="394"/>
      <c r="AP52" s="394"/>
      <c r="AQ52" s="394"/>
      <c r="AR52" s="395"/>
      <c r="AS52" s="129"/>
      <c r="AT52" s="125"/>
      <c r="AU52" s="491"/>
      <c r="AV52" s="473" t="str">
        <f>IF(Roster!$C$12=0,"",Roster!$C$12)</f>
        <v>Lineman</v>
      </c>
      <c r="AW52" s="394"/>
      <c r="AX52" s="394"/>
      <c r="AY52" s="394"/>
      <c r="AZ52" s="394"/>
      <c r="BA52" s="394"/>
      <c r="BB52" s="394"/>
      <c r="BC52" s="394"/>
      <c r="BD52" s="394"/>
      <c r="BE52" s="394"/>
      <c r="BF52" s="394"/>
      <c r="BG52" s="395"/>
      <c r="BH52" s="129"/>
    </row>
    <row r="53" spans="1:60" ht="11.25" customHeight="1">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c r="A54" s="125"/>
      <c r="B54" s="135">
        <f>IF(Roster!$J$9=0,"",Roster!$J$9)</f>
        <v>6</v>
      </c>
      <c r="C54" s="133"/>
      <c r="D54" s="474"/>
      <c r="E54" s="307"/>
      <c r="F54" s="307"/>
      <c r="G54" s="307"/>
      <c r="H54" s="307"/>
      <c r="I54" s="307"/>
      <c r="J54" s="307"/>
      <c r="K54" s="307"/>
      <c r="L54" s="307"/>
      <c r="M54" s="307"/>
      <c r="N54" s="308"/>
      <c r="O54" s="128"/>
      <c r="P54" s="125"/>
      <c r="Q54" s="135">
        <f>IF(Roster!$J$10=0,"",Roster!$J$10)</f>
        <v>6</v>
      </c>
      <c r="R54" s="133"/>
      <c r="S54" s="474"/>
      <c r="T54" s="307"/>
      <c r="U54" s="307"/>
      <c r="V54" s="307"/>
      <c r="W54" s="307"/>
      <c r="X54" s="307"/>
      <c r="Y54" s="307"/>
      <c r="Z54" s="307"/>
      <c r="AA54" s="307"/>
      <c r="AB54" s="307"/>
      <c r="AC54" s="308"/>
      <c r="AD54" s="128"/>
      <c r="AE54" s="125"/>
      <c r="AF54" s="135">
        <f>IF(Roster!$J$11=0,"",Roster!$J$11)</f>
        <v>6</v>
      </c>
      <c r="AG54" s="133"/>
      <c r="AH54" s="474"/>
      <c r="AI54" s="307"/>
      <c r="AJ54" s="307"/>
      <c r="AK54" s="307"/>
      <c r="AL54" s="307"/>
      <c r="AM54" s="307"/>
      <c r="AN54" s="307"/>
      <c r="AO54" s="307"/>
      <c r="AP54" s="307"/>
      <c r="AQ54" s="307"/>
      <c r="AR54" s="308"/>
      <c r="AS54" s="128"/>
      <c r="AT54" s="125"/>
      <c r="AU54" s="135">
        <f>IF(Roster!$J$12=0,"",Roster!$J$12)</f>
        <v>6</v>
      </c>
      <c r="AV54" s="133"/>
      <c r="AW54" s="474"/>
      <c r="AX54" s="307"/>
      <c r="AY54" s="307"/>
      <c r="AZ54" s="307"/>
      <c r="BA54" s="307"/>
      <c r="BB54" s="307"/>
      <c r="BC54" s="307"/>
      <c r="BD54" s="307"/>
      <c r="BE54" s="307"/>
      <c r="BF54" s="307"/>
      <c r="BG54" s="308"/>
      <c r="BH54" s="128"/>
    </row>
    <row r="55" spans="1:60" ht="11.25" customHeight="1">
      <c r="A55" s="125"/>
      <c r="B55" s="132" t="str">
        <f>IF(Roster!$K$1=0,"",Roster!$K$1)</f>
        <v>ST</v>
      </c>
      <c r="C55" s="133"/>
      <c r="D55" s="475"/>
      <c r="E55" s="356"/>
      <c r="F55" s="356"/>
      <c r="G55" s="356"/>
      <c r="H55" s="356"/>
      <c r="I55" s="356"/>
      <c r="J55" s="356"/>
      <c r="K55" s="356"/>
      <c r="L55" s="356"/>
      <c r="M55" s="356"/>
      <c r="N55" s="476"/>
      <c r="O55" s="128"/>
      <c r="P55" s="125"/>
      <c r="Q55" s="132" t="str">
        <f>IF(Roster!$K$1=0,"",Roster!$K$1)</f>
        <v>ST</v>
      </c>
      <c r="R55" s="133"/>
      <c r="S55" s="475"/>
      <c r="T55" s="356"/>
      <c r="U55" s="356"/>
      <c r="V55" s="356"/>
      <c r="W55" s="356"/>
      <c r="X55" s="356"/>
      <c r="Y55" s="356"/>
      <c r="Z55" s="356"/>
      <c r="AA55" s="356"/>
      <c r="AB55" s="356"/>
      <c r="AC55" s="476"/>
      <c r="AD55" s="128"/>
      <c r="AE55" s="125"/>
      <c r="AF55" s="132" t="str">
        <f>IF(Roster!$K$1=0,"",Roster!$K$1)</f>
        <v>ST</v>
      </c>
      <c r="AG55" s="133"/>
      <c r="AH55" s="475"/>
      <c r="AI55" s="356"/>
      <c r="AJ55" s="356"/>
      <c r="AK55" s="356"/>
      <c r="AL55" s="356"/>
      <c r="AM55" s="356"/>
      <c r="AN55" s="356"/>
      <c r="AO55" s="356"/>
      <c r="AP55" s="356"/>
      <c r="AQ55" s="356"/>
      <c r="AR55" s="476"/>
      <c r="AS55" s="128"/>
      <c r="AT55" s="125"/>
      <c r="AU55" s="132" t="str">
        <f>IF(Roster!$K$1=0,"",Roster!$K$1)</f>
        <v>ST</v>
      </c>
      <c r="AV55" s="133"/>
      <c r="AW55" s="475"/>
      <c r="AX55" s="356"/>
      <c r="AY55" s="356"/>
      <c r="AZ55" s="356"/>
      <c r="BA55" s="356"/>
      <c r="BB55" s="356"/>
      <c r="BC55" s="356"/>
      <c r="BD55" s="356"/>
      <c r="BE55" s="356"/>
      <c r="BF55" s="356"/>
      <c r="BG55" s="476"/>
      <c r="BH55" s="128"/>
    </row>
    <row r="56" spans="1:60" ht="37.5" customHeight="1">
      <c r="A56" s="125"/>
      <c r="B56" s="135">
        <f>IF(Roster!$K$9=0,"",Roster!$K$9)</f>
        <v>3</v>
      </c>
      <c r="C56" s="133"/>
      <c r="D56" s="475"/>
      <c r="E56" s="356"/>
      <c r="F56" s="356"/>
      <c r="G56" s="356"/>
      <c r="H56" s="356"/>
      <c r="I56" s="356"/>
      <c r="J56" s="356"/>
      <c r="K56" s="356"/>
      <c r="L56" s="356"/>
      <c r="M56" s="356"/>
      <c r="N56" s="476"/>
      <c r="O56" s="128"/>
      <c r="P56" s="125"/>
      <c r="Q56" s="135">
        <f>IF(Roster!$K$10=0,"",Roster!$K$10)</f>
        <v>3</v>
      </c>
      <c r="R56" s="133"/>
      <c r="S56" s="475"/>
      <c r="T56" s="356"/>
      <c r="U56" s="356"/>
      <c r="V56" s="356"/>
      <c r="W56" s="356"/>
      <c r="X56" s="356"/>
      <c r="Y56" s="356"/>
      <c r="Z56" s="356"/>
      <c r="AA56" s="356"/>
      <c r="AB56" s="356"/>
      <c r="AC56" s="476"/>
      <c r="AD56" s="128"/>
      <c r="AE56" s="125"/>
      <c r="AF56" s="135">
        <f>IF(Roster!$K$11=0,"",Roster!$K$11)</f>
        <v>3</v>
      </c>
      <c r="AG56" s="133"/>
      <c r="AH56" s="475"/>
      <c r="AI56" s="356"/>
      <c r="AJ56" s="356"/>
      <c r="AK56" s="356"/>
      <c r="AL56" s="356"/>
      <c r="AM56" s="356"/>
      <c r="AN56" s="356"/>
      <c r="AO56" s="356"/>
      <c r="AP56" s="356"/>
      <c r="AQ56" s="356"/>
      <c r="AR56" s="476"/>
      <c r="AS56" s="128"/>
      <c r="AT56" s="125"/>
      <c r="AU56" s="135">
        <f>IF(Roster!$K$12=0,"",Roster!$K$12)</f>
        <v>3</v>
      </c>
      <c r="AV56" s="133"/>
      <c r="AW56" s="475"/>
      <c r="AX56" s="356"/>
      <c r="AY56" s="356"/>
      <c r="AZ56" s="356"/>
      <c r="BA56" s="356"/>
      <c r="BB56" s="356"/>
      <c r="BC56" s="356"/>
      <c r="BD56" s="356"/>
      <c r="BE56" s="356"/>
      <c r="BF56" s="356"/>
      <c r="BG56" s="476"/>
      <c r="BH56" s="128"/>
    </row>
    <row r="57" spans="1:60" ht="11.25" customHeight="1">
      <c r="A57" s="125"/>
      <c r="B57" s="132" t="str">
        <f>IF(Roster!$L$1=0,"",Roster!$L$1)</f>
        <v>AG</v>
      </c>
      <c r="C57" s="133"/>
      <c r="D57" s="475"/>
      <c r="E57" s="356"/>
      <c r="F57" s="356"/>
      <c r="G57" s="356"/>
      <c r="H57" s="356"/>
      <c r="I57" s="356"/>
      <c r="J57" s="356"/>
      <c r="K57" s="356"/>
      <c r="L57" s="356"/>
      <c r="M57" s="356"/>
      <c r="N57" s="476"/>
      <c r="O57" s="128"/>
      <c r="P57" s="125"/>
      <c r="Q57" s="132" t="str">
        <f>IF(Roster!$L$1=0,"",Roster!$L$1)</f>
        <v>AG</v>
      </c>
      <c r="R57" s="133"/>
      <c r="S57" s="475"/>
      <c r="T57" s="356"/>
      <c r="U57" s="356"/>
      <c r="V57" s="356"/>
      <c r="W57" s="356"/>
      <c r="X57" s="356"/>
      <c r="Y57" s="356"/>
      <c r="Z57" s="356"/>
      <c r="AA57" s="356"/>
      <c r="AB57" s="356"/>
      <c r="AC57" s="476"/>
      <c r="AD57" s="128"/>
      <c r="AE57" s="125"/>
      <c r="AF57" s="132" t="str">
        <f>IF(Roster!$L$1=0,"",Roster!$L$1)</f>
        <v>AG</v>
      </c>
      <c r="AG57" s="133"/>
      <c r="AH57" s="475"/>
      <c r="AI57" s="356"/>
      <c r="AJ57" s="356"/>
      <c r="AK57" s="356"/>
      <c r="AL57" s="356"/>
      <c r="AM57" s="356"/>
      <c r="AN57" s="356"/>
      <c r="AO57" s="356"/>
      <c r="AP57" s="356"/>
      <c r="AQ57" s="356"/>
      <c r="AR57" s="476"/>
      <c r="AS57" s="128"/>
      <c r="AT57" s="125"/>
      <c r="AU57" s="132" t="str">
        <f>IF(Roster!$L$1=0,"",Roster!$L$1)</f>
        <v>AG</v>
      </c>
      <c r="AV57" s="133"/>
      <c r="AW57" s="475"/>
      <c r="AX57" s="356"/>
      <c r="AY57" s="356"/>
      <c r="AZ57" s="356"/>
      <c r="BA57" s="356"/>
      <c r="BB57" s="356"/>
      <c r="BC57" s="356"/>
      <c r="BD57" s="356"/>
      <c r="BE57" s="356"/>
      <c r="BF57" s="356"/>
      <c r="BG57" s="476"/>
      <c r="BH57" s="128"/>
    </row>
    <row r="58" spans="1:60" ht="37.5" customHeight="1">
      <c r="A58" s="125"/>
      <c r="B58" s="135" t="str">
        <f>IF(Roster!$L$9=0&amp;"+","",Roster!$L$9)</f>
        <v>2+</v>
      </c>
      <c r="C58" s="133"/>
      <c r="D58" s="475"/>
      <c r="E58" s="356"/>
      <c r="F58" s="356"/>
      <c r="G58" s="356"/>
      <c r="H58" s="356"/>
      <c r="I58" s="356"/>
      <c r="J58" s="356"/>
      <c r="K58" s="356"/>
      <c r="L58" s="356"/>
      <c r="M58" s="356"/>
      <c r="N58" s="476"/>
      <c r="O58" s="128"/>
      <c r="P58" s="125"/>
      <c r="Q58" s="135" t="str">
        <f>IF(Roster!$L$10=0&amp;"+","",Roster!$L$10)</f>
        <v>2+</v>
      </c>
      <c r="R58" s="133"/>
      <c r="S58" s="475"/>
      <c r="T58" s="356"/>
      <c r="U58" s="356"/>
      <c r="V58" s="356"/>
      <c r="W58" s="356"/>
      <c r="X58" s="356"/>
      <c r="Y58" s="356"/>
      <c r="Z58" s="356"/>
      <c r="AA58" s="356"/>
      <c r="AB58" s="356"/>
      <c r="AC58" s="476"/>
      <c r="AD58" s="128"/>
      <c r="AE58" s="125"/>
      <c r="AF58" s="135" t="str">
        <f>IF(Roster!$L$11=0&amp;"+","",Roster!$L$11)</f>
        <v>2+</v>
      </c>
      <c r="AG58" s="133"/>
      <c r="AH58" s="475"/>
      <c r="AI58" s="356"/>
      <c r="AJ58" s="356"/>
      <c r="AK58" s="356"/>
      <c r="AL58" s="356"/>
      <c r="AM58" s="356"/>
      <c r="AN58" s="356"/>
      <c r="AO58" s="356"/>
      <c r="AP58" s="356"/>
      <c r="AQ58" s="356"/>
      <c r="AR58" s="476"/>
      <c r="AS58" s="128"/>
      <c r="AT58" s="125"/>
      <c r="AU58" s="135" t="str">
        <f>IF(Roster!$L$12=0&amp;"+","",Roster!$L$12)</f>
        <v>2+</v>
      </c>
      <c r="AV58" s="133"/>
      <c r="AW58" s="475"/>
      <c r="AX58" s="356"/>
      <c r="AY58" s="356"/>
      <c r="AZ58" s="356"/>
      <c r="BA58" s="356"/>
      <c r="BB58" s="356"/>
      <c r="BC58" s="356"/>
      <c r="BD58" s="356"/>
      <c r="BE58" s="356"/>
      <c r="BF58" s="356"/>
      <c r="BG58" s="476"/>
      <c r="BH58" s="128"/>
    </row>
    <row r="59" spans="1:60" ht="11.25" customHeight="1">
      <c r="A59" s="125"/>
      <c r="B59" s="132" t="str">
        <f>IF(Roster!$M$1=0,"",Roster!$M$1)</f>
        <v>PA</v>
      </c>
      <c r="C59" s="133"/>
      <c r="D59" s="475"/>
      <c r="E59" s="356"/>
      <c r="F59" s="356"/>
      <c r="G59" s="356"/>
      <c r="H59" s="356"/>
      <c r="I59" s="356"/>
      <c r="J59" s="356"/>
      <c r="K59" s="356"/>
      <c r="L59" s="356"/>
      <c r="M59" s="356"/>
      <c r="N59" s="476"/>
      <c r="O59" s="137"/>
      <c r="P59" s="125"/>
      <c r="Q59" s="132" t="str">
        <f>IF(Roster!$M$1=0,"",Roster!$M$1)</f>
        <v>PA</v>
      </c>
      <c r="R59" s="133"/>
      <c r="S59" s="475"/>
      <c r="T59" s="356"/>
      <c r="U59" s="356"/>
      <c r="V59" s="356"/>
      <c r="W59" s="356"/>
      <c r="X59" s="356"/>
      <c r="Y59" s="356"/>
      <c r="Z59" s="356"/>
      <c r="AA59" s="356"/>
      <c r="AB59" s="356"/>
      <c r="AC59" s="476"/>
      <c r="AD59" s="137"/>
      <c r="AE59" s="125"/>
      <c r="AF59" s="132" t="str">
        <f>IF(Roster!$M$1=0,"",Roster!$M$1)</f>
        <v>PA</v>
      </c>
      <c r="AG59" s="133"/>
      <c r="AH59" s="475"/>
      <c r="AI59" s="356"/>
      <c r="AJ59" s="356"/>
      <c r="AK59" s="356"/>
      <c r="AL59" s="356"/>
      <c r="AM59" s="356"/>
      <c r="AN59" s="356"/>
      <c r="AO59" s="356"/>
      <c r="AP59" s="356"/>
      <c r="AQ59" s="356"/>
      <c r="AR59" s="476"/>
      <c r="AS59" s="137"/>
      <c r="AT59" s="125"/>
      <c r="AU59" s="132" t="str">
        <f>IF(Roster!$M$1=0,"",Roster!$M$1)</f>
        <v>PA</v>
      </c>
      <c r="AV59" s="133"/>
      <c r="AW59" s="475"/>
      <c r="AX59" s="356"/>
      <c r="AY59" s="356"/>
      <c r="AZ59" s="356"/>
      <c r="BA59" s="356"/>
      <c r="BB59" s="356"/>
      <c r="BC59" s="356"/>
      <c r="BD59" s="356"/>
      <c r="BE59" s="356"/>
      <c r="BF59" s="356"/>
      <c r="BG59" s="476"/>
      <c r="BH59" s="137"/>
    </row>
    <row r="60" spans="1:60" ht="6" customHeight="1">
      <c r="A60" s="125"/>
      <c r="B60" s="469" t="str">
        <f>IF(Roster!$M$9=0&amp;"+","",Roster!$M$9)</f>
        <v>4+</v>
      </c>
      <c r="C60" s="133"/>
      <c r="D60" s="477"/>
      <c r="E60" s="478"/>
      <c r="F60" s="478"/>
      <c r="G60" s="478"/>
      <c r="H60" s="478"/>
      <c r="I60" s="478"/>
      <c r="J60" s="478"/>
      <c r="K60" s="478"/>
      <c r="L60" s="478"/>
      <c r="M60" s="478"/>
      <c r="N60" s="479"/>
      <c r="O60" s="139"/>
      <c r="P60" s="125"/>
      <c r="Q60" s="469" t="str">
        <f>IF(Roster!$M$10=0&amp;"+","",Roster!$M$10)</f>
        <v>4+</v>
      </c>
      <c r="R60" s="133"/>
      <c r="S60" s="477"/>
      <c r="T60" s="478"/>
      <c r="U60" s="478"/>
      <c r="V60" s="478"/>
      <c r="W60" s="478"/>
      <c r="X60" s="478"/>
      <c r="Y60" s="478"/>
      <c r="Z60" s="478"/>
      <c r="AA60" s="478"/>
      <c r="AB60" s="478"/>
      <c r="AC60" s="479"/>
      <c r="AD60" s="139"/>
      <c r="AE60" s="125"/>
      <c r="AF60" s="469" t="str">
        <f>IF(Roster!$M$11=0&amp;"+","",Roster!$M$11)</f>
        <v>4+</v>
      </c>
      <c r="AG60" s="133"/>
      <c r="AH60" s="477"/>
      <c r="AI60" s="478"/>
      <c r="AJ60" s="478"/>
      <c r="AK60" s="478"/>
      <c r="AL60" s="478"/>
      <c r="AM60" s="478"/>
      <c r="AN60" s="478"/>
      <c r="AO60" s="478"/>
      <c r="AP60" s="478"/>
      <c r="AQ60" s="478"/>
      <c r="AR60" s="479"/>
      <c r="AS60" s="139"/>
      <c r="AT60" s="125"/>
      <c r="AU60" s="469" t="str">
        <f>IF(Roster!$M$12=0&amp;"+","",Roster!$M$12)</f>
        <v>4+</v>
      </c>
      <c r="AV60" s="133"/>
      <c r="AW60" s="477"/>
      <c r="AX60" s="478"/>
      <c r="AY60" s="478"/>
      <c r="AZ60" s="478"/>
      <c r="BA60" s="478"/>
      <c r="BB60" s="478"/>
      <c r="BC60" s="478"/>
      <c r="BD60" s="478"/>
      <c r="BE60" s="478"/>
      <c r="BF60" s="478"/>
      <c r="BG60" s="479"/>
      <c r="BH60" s="139"/>
    </row>
    <row r="61" spans="1:60" ht="4.5" customHeight="1">
      <c r="A61" s="125"/>
      <c r="B61" s="470"/>
      <c r="C61" s="131"/>
      <c r="D61" s="125"/>
      <c r="E61" s="138"/>
      <c r="F61" s="125"/>
      <c r="G61" s="138"/>
      <c r="H61" s="125"/>
      <c r="I61" s="138"/>
      <c r="J61" s="125"/>
      <c r="K61" s="138"/>
      <c r="L61" s="125"/>
      <c r="M61" s="138"/>
      <c r="N61" s="125"/>
      <c r="O61" s="139"/>
      <c r="P61" s="125"/>
      <c r="Q61" s="470"/>
      <c r="R61" s="131"/>
      <c r="S61" s="125"/>
      <c r="T61" s="138"/>
      <c r="U61" s="125"/>
      <c r="V61" s="138"/>
      <c r="W61" s="125"/>
      <c r="X61" s="138"/>
      <c r="Y61" s="125"/>
      <c r="Z61" s="138"/>
      <c r="AA61" s="125"/>
      <c r="AB61" s="138"/>
      <c r="AC61" s="125"/>
      <c r="AD61" s="139"/>
      <c r="AE61" s="125"/>
      <c r="AF61" s="470"/>
      <c r="AG61" s="131"/>
      <c r="AH61" s="125"/>
      <c r="AI61" s="138"/>
      <c r="AJ61" s="125"/>
      <c r="AK61" s="138"/>
      <c r="AL61" s="125"/>
      <c r="AM61" s="138"/>
      <c r="AN61" s="125"/>
      <c r="AO61" s="138"/>
      <c r="AP61" s="125"/>
      <c r="AQ61" s="138"/>
      <c r="AR61" s="125"/>
      <c r="AS61" s="139"/>
      <c r="AT61" s="125"/>
      <c r="AU61" s="470"/>
      <c r="AV61" s="131"/>
      <c r="AW61" s="125"/>
      <c r="AX61" s="138"/>
      <c r="AY61" s="125"/>
      <c r="AZ61" s="138"/>
      <c r="BA61" s="125"/>
      <c r="BB61" s="138"/>
      <c r="BC61" s="125"/>
      <c r="BD61" s="138"/>
      <c r="BE61" s="125"/>
      <c r="BF61" s="138"/>
      <c r="BG61" s="125"/>
      <c r="BH61" s="139"/>
    </row>
    <row r="62" spans="1:60" ht="11.25" customHeight="1">
      <c r="A62" s="125"/>
      <c r="B62" s="470"/>
      <c r="C62" s="131"/>
      <c r="D62" s="480" t="str">
        <f>IF(Roster!$J$24="Italiano","ABILITÀ &amp; TRATTI",(IF(Roster!$J$24="Español","HABILIDADES Y RASGOS","SKILLS &amp; TRAITS")))</f>
        <v>SKILLS &amp; TRAITS</v>
      </c>
      <c r="E62" s="481"/>
      <c r="F62" s="481"/>
      <c r="G62" s="481"/>
      <c r="H62" s="481"/>
      <c r="I62" s="481"/>
      <c r="J62" s="481"/>
      <c r="K62" s="481"/>
      <c r="L62" s="481"/>
      <c r="M62" s="481"/>
      <c r="N62" s="482"/>
      <c r="O62" s="139"/>
      <c r="P62" s="125"/>
      <c r="Q62" s="470"/>
      <c r="R62" s="131"/>
      <c r="S62" s="480" t="str">
        <f>IF(Roster!$J$24="Italiano","ABILITÀ &amp; TRATTI",(IF(Roster!$J$24="Español","HABILIDADES Y RASGOS","SKILLS &amp; TRAITS")))</f>
        <v>SKILLS &amp; TRAITS</v>
      </c>
      <c r="T62" s="481"/>
      <c r="U62" s="481"/>
      <c r="V62" s="481"/>
      <c r="W62" s="481"/>
      <c r="X62" s="481"/>
      <c r="Y62" s="481"/>
      <c r="Z62" s="481"/>
      <c r="AA62" s="481"/>
      <c r="AB62" s="481"/>
      <c r="AC62" s="482"/>
      <c r="AD62" s="139"/>
      <c r="AE62" s="125"/>
      <c r="AF62" s="470"/>
      <c r="AG62" s="131"/>
      <c r="AH62" s="480" t="str">
        <f>IF(Roster!$J$24="Italiano","ABILITÀ &amp; TRATTI",(IF(Roster!$J$24="Español","HABILIDADES Y RASGOS","SKILLS &amp; TRAITS")))</f>
        <v>SKILLS &amp; TRAITS</v>
      </c>
      <c r="AI62" s="481"/>
      <c r="AJ62" s="481"/>
      <c r="AK62" s="481"/>
      <c r="AL62" s="481"/>
      <c r="AM62" s="481"/>
      <c r="AN62" s="481"/>
      <c r="AO62" s="481"/>
      <c r="AP62" s="481"/>
      <c r="AQ62" s="481"/>
      <c r="AR62" s="482"/>
      <c r="AS62" s="139"/>
      <c r="AT62" s="125"/>
      <c r="AU62" s="470"/>
      <c r="AV62" s="131"/>
      <c r="AW62" s="480" t="str">
        <f>IF(Roster!$J$24="Italiano","ABILITÀ &amp; TRATTI",(IF(Roster!$J$24="Español","HABILIDADES Y RASGOS","SKILLS &amp; TRAITS")))</f>
        <v>SKILLS &amp; TRAITS</v>
      </c>
      <c r="AX62" s="481"/>
      <c r="AY62" s="481"/>
      <c r="AZ62" s="481"/>
      <c r="BA62" s="481"/>
      <c r="BB62" s="481"/>
      <c r="BC62" s="481"/>
      <c r="BD62" s="481"/>
      <c r="BE62" s="481"/>
      <c r="BF62" s="481"/>
      <c r="BG62" s="482"/>
      <c r="BH62" s="139"/>
    </row>
    <row r="63" spans="1:60" ht="15" customHeight="1">
      <c r="A63" s="125"/>
      <c r="B63" s="470"/>
      <c r="C63" s="134"/>
      <c r="D63" s="483" t="str">
        <f>IF(Roster!$O$9=0,"",Roster!$O$9&amp;Roster!BF9)</f>
        <v>Dodge</v>
      </c>
      <c r="E63" s="447"/>
      <c r="F63" s="447"/>
      <c r="G63" s="447"/>
      <c r="H63" s="447"/>
      <c r="I63" s="447"/>
      <c r="J63" s="447"/>
      <c r="K63" s="447"/>
      <c r="L63" s="447"/>
      <c r="M63" s="447"/>
      <c r="N63" s="484"/>
      <c r="O63" s="139"/>
      <c r="P63" s="125"/>
      <c r="Q63" s="470"/>
      <c r="R63" s="134"/>
      <c r="S63" s="483" t="str">
        <f>IF(Roster!$O$10=0,"",Roster!$O$10&amp;Roster!BF10)</f>
        <v>Dodge</v>
      </c>
      <c r="T63" s="447"/>
      <c r="U63" s="447"/>
      <c r="V63" s="447"/>
      <c r="W63" s="447"/>
      <c r="X63" s="447"/>
      <c r="Y63" s="447"/>
      <c r="Z63" s="447"/>
      <c r="AA63" s="447"/>
      <c r="AB63" s="447"/>
      <c r="AC63" s="484"/>
      <c r="AD63" s="139"/>
      <c r="AE63" s="125"/>
      <c r="AF63" s="470"/>
      <c r="AG63" s="134"/>
      <c r="AH63" s="483" t="str">
        <f>IF(Roster!$O$11=0,"",Roster!$O$11&amp;Roster!BF11)</f>
        <v>Dodge</v>
      </c>
      <c r="AI63" s="447"/>
      <c r="AJ63" s="447"/>
      <c r="AK63" s="447"/>
      <c r="AL63" s="447"/>
      <c r="AM63" s="447"/>
      <c r="AN63" s="447"/>
      <c r="AO63" s="447"/>
      <c r="AP63" s="447"/>
      <c r="AQ63" s="447"/>
      <c r="AR63" s="484"/>
      <c r="AS63" s="139"/>
      <c r="AT63" s="125"/>
      <c r="AU63" s="470"/>
      <c r="AV63" s="134"/>
      <c r="AW63" s="483" t="str">
        <f>IF(Roster!$O$12=0,"",Roster!$O$12&amp;Roster!BF12)</f>
        <v/>
      </c>
      <c r="AX63" s="447"/>
      <c r="AY63" s="447"/>
      <c r="AZ63" s="447"/>
      <c r="BA63" s="447"/>
      <c r="BB63" s="447"/>
      <c r="BC63" s="447"/>
      <c r="BD63" s="447"/>
      <c r="BE63" s="447"/>
      <c r="BF63" s="447"/>
      <c r="BG63" s="484"/>
      <c r="BH63" s="139"/>
    </row>
    <row r="64" spans="1:60" ht="4.5" customHeight="1">
      <c r="A64" s="125"/>
      <c r="B64" s="471"/>
      <c r="C64" s="134"/>
      <c r="D64" s="475"/>
      <c r="E64" s="356"/>
      <c r="F64" s="356"/>
      <c r="G64" s="356"/>
      <c r="H64" s="356"/>
      <c r="I64" s="356"/>
      <c r="J64" s="356"/>
      <c r="K64" s="356"/>
      <c r="L64" s="356"/>
      <c r="M64" s="356"/>
      <c r="N64" s="476"/>
      <c r="O64" s="139"/>
      <c r="P64" s="125"/>
      <c r="Q64" s="471"/>
      <c r="R64" s="134"/>
      <c r="S64" s="475"/>
      <c r="T64" s="356"/>
      <c r="U64" s="356"/>
      <c r="V64" s="356"/>
      <c r="W64" s="356"/>
      <c r="X64" s="356"/>
      <c r="Y64" s="356"/>
      <c r="Z64" s="356"/>
      <c r="AA64" s="356"/>
      <c r="AB64" s="356"/>
      <c r="AC64" s="476"/>
      <c r="AD64" s="139"/>
      <c r="AE64" s="125"/>
      <c r="AF64" s="471"/>
      <c r="AG64" s="134"/>
      <c r="AH64" s="475"/>
      <c r="AI64" s="356"/>
      <c r="AJ64" s="356"/>
      <c r="AK64" s="356"/>
      <c r="AL64" s="356"/>
      <c r="AM64" s="356"/>
      <c r="AN64" s="356"/>
      <c r="AO64" s="356"/>
      <c r="AP64" s="356"/>
      <c r="AQ64" s="356"/>
      <c r="AR64" s="476"/>
      <c r="AS64" s="139"/>
      <c r="AT64" s="125"/>
      <c r="AU64" s="471"/>
      <c r="AV64" s="134"/>
      <c r="AW64" s="475"/>
      <c r="AX64" s="356"/>
      <c r="AY64" s="356"/>
      <c r="AZ64" s="356"/>
      <c r="BA64" s="356"/>
      <c r="BB64" s="356"/>
      <c r="BC64" s="356"/>
      <c r="BD64" s="356"/>
      <c r="BE64" s="356"/>
      <c r="BF64" s="356"/>
      <c r="BG64" s="476"/>
      <c r="BH64" s="139"/>
    </row>
    <row r="65" spans="1:60" ht="11.25" customHeight="1">
      <c r="A65" s="125"/>
      <c r="B65" s="132" t="str">
        <f>IF(Roster!$N$1=0,"",Roster!$N$1)</f>
        <v>AV</v>
      </c>
      <c r="C65" s="133"/>
      <c r="D65" s="475"/>
      <c r="E65" s="356"/>
      <c r="F65" s="356"/>
      <c r="G65" s="356"/>
      <c r="H65" s="356"/>
      <c r="I65" s="356"/>
      <c r="J65" s="356"/>
      <c r="K65" s="356"/>
      <c r="L65" s="356"/>
      <c r="M65" s="356"/>
      <c r="N65" s="476"/>
      <c r="O65" s="128"/>
      <c r="P65" s="125"/>
      <c r="Q65" s="132" t="str">
        <f>IF(Roster!$N$1=0,"",Roster!$N$1)</f>
        <v>AV</v>
      </c>
      <c r="R65" s="133"/>
      <c r="S65" s="475"/>
      <c r="T65" s="356"/>
      <c r="U65" s="356"/>
      <c r="V65" s="356"/>
      <c r="W65" s="356"/>
      <c r="X65" s="356"/>
      <c r="Y65" s="356"/>
      <c r="Z65" s="356"/>
      <c r="AA65" s="356"/>
      <c r="AB65" s="356"/>
      <c r="AC65" s="476"/>
      <c r="AD65" s="128"/>
      <c r="AE65" s="125"/>
      <c r="AF65" s="132" t="str">
        <f>IF(Roster!$N$1=0,"",Roster!$N$1)</f>
        <v>AV</v>
      </c>
      <c r="AG65" s="133"/>
      <c r="AH65" s="475"/>
      <c r="AI65" s="356"/>
      <c r="AJ65" s="356"/>
      <c r="AK65" s="356"/>
      <c r="AL65" s="356"/>
      <c r="AM65" s="356"/>
      <c r="AN65" s="356"/>
      <c r="AO65" s="356"/>
      <c r="AP65" s="356"/>
      <c r="AQ65" s="356"/>
      <c r="AR65" s="476"/>
      <c r="AS65" s="128"/>
      <c r="AT65" s="125"/>
      <c r="AU65" s="132" t="str">
        <f>IF(Roster!$N$1=0,"",Roster!$N$1)</f>
        <v>AV</v>
      </c>
      <c r="AV65" s="133"/>
      <c r="AW65" s="475"/>
      <c r="AX65" s="356"/>
      <c r="AY65" s="356"/>
      <c r="AZ65" s="356"/>
      <c r="BA65" s="356"/>
      <c r="BB65" s="356"/>
      <c r="BC65" s="356"/>
      <c r="BD65" s="356"/>
      <c r="BE65" s="356"/>
      <c r="BF65" s="356"/>
      <c r="BG65" s="476"/>
      <c r="BH65" s="128"/>
    </row>
    <row r="66" spans="1:60" ht="15" customHeight="1">
      <c r="A66" s="125"/>
      <c r="B66" s="469" t="str">
        <f>IF(Roster!$N$9=0&amp;"+","",Roster!$N$9)</f>
        <v>9+</v>
      </c>
      <c r="C66" s="134"/>
      <c r="D66" s="475"/>
      <c r="E66" s="356"/>
      <c r="F66" s="356"/>
      <c r="G66" s="356"/>
      <c r="H66" s="356"/>
      <c r="I66" s="356"/>
      <c r="J66" s="356"/>
      <c r="K66" s="356"/>
      <c r="L66" s="356"/>
      <c r="M66" s="356"/>
      <c r="N66" s="476"/>
      <c r="O66" s="140"/>
      <c r="P66" s="125"/>
      <c r="Q66" s="469" t="str">
        <f>IF(Roster!$N$10=0&amp;"+","",Roster!$N$10)</f>
        <v>9+</v>
      </c>
      <c r="R66" s="134"/>
      <c r="S66" s="475"/>
      <c r="T66" s="356"/>
      <c r="U66" s="356"/>
      <c r="V66" s="356"/>
      <c r="W66" s="356"/>
      <c r="X66" s="356"/>
      <c r="Y66" s="356"/>
      <c r="Z66" s="356"/>
      <c r="AA66" s="356"/>
      <c r="AB66" s="356"/>
      <c r="AC66" s="476"/>
      <c r="AD66" s="140"/>
      <c r="AE66" s="125"/>
      <c r="AF66" s="469" t="str">
        <f>IF(Roster!$N$11=0&amp;"+","",Roster!$N$11)</f>
        <v>9+</v>
      </c>
      <c r="AG66" s="134"/>
      <c r="AH66" s="475"/>
      <c r="AI66" s="356"/>
      <c r="AJ66" s="356"/>
      <c r="AK66" s="356"/>
      <c r="AL66" s="356"/>
      <c r="AM66" s="356"/>
      <c r="AN66" s="356"/>
      <c r="AO66" s="356"/>
      <c r="AP66" s="356"/>
      <c r="AQ66" s="356"/>
      <c r="AR66" s="476"/>
      <c r="AS66" s="140"/>
      <c r="AT66" s="125"/>
      <c r="AU66" s="469" t="str">
        <f>IF(Roster!$N$12=0&amp;"+","",Roster!$N$12)</f>
        <v>9+</v>
      </c>
      <c r="AV66" s="134"/>
      <c r="AW66" s="475"/>
      <c r="AX66" s="356"/>
      <c r="AY66" s="356"/>
      <c r="AZ66" s="356"/>
      <c r="BA66" s="356"/>
      <c r="BB66" s="356"/>
      <c r="BC66" s="356"/>
      <c r="BD66" s="356"/>
      <c r="BE66" s="356"/>
      <c r="BF66" s="356"/>
      <c r="BG66" s="476"/>
      <c r="BH66" s="140"/>
    </row>
    <row r="67" spans="1:60" ht="4.5" customHeight="1">
      <c r="A67" s="125"/>
      <c r="B67" s="470"/>
      <c r="C67" s="134"/>
      <c r="D67" s="475"/>
      <c r="E67" s="356"/>
      <c r="F67" s="356"/>
      <c r="G67" s="356"/>
      <c r="H67" s="356"/>
      <c r="I67" s="356"/>
      <c r="J67" s="356"/>
      <c r="K67" s="356"/>
      <c r="L67" s="356"/>
      <c r="M67" s="356"/>
      <c r="N67" s="476"/>
      <c r="O67" s="140"/>
      <c r="P67" s="125"/>
      <c r="Q67" s="470"/>
      <c r="R67" s="134"/>
      <c r="S67" s="475"/>
      <c r="T67" s="356"/>
      <c r="U67" s="356"/>
      <c r="V67" s="356"/>
      <c r="W67" s="356"/>
      <c r="X67" s="356"/>
      <c r="Y67" s="356"/>
      <c r="Z67" s="356"/>
      <c r="AA67" s="356"/>
      <c r="AB67" s="356"/>
      <c r="AC67" s="476"/>
      <c r="AD67" s="140"/>
      <c r="AE67" s="125"/>
      <c r="AF67" s="470"/>
      <c r="AG67" s="134"/>
      <c r="AH67" s="475"/>
      <c r="AI67" s="356"/>
      <c r="AJ67" s="356"/>
      <c r="AK67" s="356"/>
      <c r="AL67" s="356"/>
      <c r="AM67" s="356"/>
      <c r="AN67" s="356"/>
      <c r="AO67" s="356"/>
      <c r="AP67" s="356"/>
      <c r="AQ67" s="356"/>
      <c r="AR67" s="476"/>
      <c r="AS67" s="140"/>
      <c r="AT67" s="125"/>
      <c r="AU67" s="470"/>
      <c r="AV67" s="134"/>
      <c r="AW67" s="475"/>
      <c r="AX67" s="356"/>
      <c r="AY67" s="356"/>
      <c r="AZ67" s="356"/>
      <c r="BA67" s="356"/>
      <c r="BB67" s="356"/>
      <c r="BC67" s="356"/>
      <c r="BD67" s="356"/>
      <c r="BE67" s="356"/>
      <c r="BF67" s="356"/>
      <c r="BG67" s="476"/>
      <c r="BH67" s="140"/>
    </row>
    <row r="68" spans="1:60" ht="11.25" customHeight="1">
      <c r="A68" s="125"/>
      <c r="B68" s="470"/>
      <c r="C68" s="134"/>
      <c r="D68" s="475"/>
      <c r="E68" s="356"/>
      <c r="F68" s="356"/>
      <c r="G68" s="356"/>
      <c r="H68" s="356"/>
      <c r="I68" s="356"/>
      <c r="J68" s="356"/>
      <c r="K68" s="356"/>
      <c r="L68" s="356"/>
      <c r="M68" s="356"/>
      <c r="N68" s="476"/>
      <c r="O68" s="140"/>
      <c r="P68" s="125"/>
      <c r="Q68" s="470"/>
      <c r="R68" s="134"/>
      <c r="S68" s="475"/>
      <c r="T68" s="356"/>
      <c r="U68" s="356"/>
      <c r="V68" s="356"/>
      <c r="W68" s="356"/>
      <c r="X68" s="356"/>
      <c r="Y68" s="356"/>
      <c r="Z68" s="356"/>
      <c r="AA68" s="356"/>
      <c r="AB68" s="356"/>
      <c r="AC68" s="476"/>
      <c r="AD68" s="140"/>
      <c r="AE68" s="125"/>
      <c r="AF68" s="470"/>
      <c r="AG68" s="134"/>
      <c r="AH68" s="475"/>
      <c r="AI68" s="356"/>
      <c r="AJ68" s="356"/>
      <c r="AK68" s="356"/>
      <c r="AL68" s="356"/>
      <c r="AM68" s="356"/>
      <c r="AN68" s="356"/>
      <c r="AO68" s="356"/>
      <c r="AP68" s="356"/>
      <c r="AQ68" s="356"/>
      <c r="AR68" s="476"/>
      <c r="AS68" s="140"/>
      <c r="AT68" s="125"/>
      <c r="AU68" s="470"/>
      <c r="AV68" s="134"/>
      <c r="AW68" s="475"/>
      <c r="AX68" s="356"/>
      <c r="AY68" s="356"/>
      <c r="AZ68" s="356"/>
      <c r="BA68" s="356"/>
      <c r="BB68" s="356"/>
      <c r="BC68" s="356"/>
      <c r="BD68" s="356"/>
      <c r="BE68" s="356"/>
      <c r="BF68" s="356"/>
      <c r="BG68" s="476"/>
      <c r="BH68" s="140"/>
    </row>
    <row r="69" spans="1:60" ht="6.75" customHeight="1">
      <c r="A69" s="125"/>
      <c r="B69" s="471"/>
      <c r="C69" s="134"/>
      <c r="D69" s="475"/>
      <c r="E69" s="356"/>
      <c r="F69" s="356"/>
      <c r="G69" s="356"/>
      <c r="H69" s="356"/>
      <c r="I69" s="356"/>
      <c r="J69" s="356"/>
      <c r="K69" s="356"/>
      <c r="L69" s="356"/>
      <c r="M69" s="356"/>
      <c r="N69" s="476"/>
      <c r="O69" s="140"/>
      <c r="P69" s="125"/>
      <c r="Q69" s="471"/>
      <c r="R69" s="134"/>
      <c r="S69" s="475"/>
      <c r="T69" s="356"/>
      <c r="U69" s="356"/>
      <c r="V69" s="356"/>
      <c r="W69" s="356"/>
      <c r="X69" s="356"/>
      <c r="Y69" s="356"/>
      <c r="Z69" s="356"/>
      <c r="AA69" s="356"/>
      <c r="AB69" s="356"/>
      <c r="AC69" s="476"/>
      <c r="AD69" s="140"/>
      <c r="AE69" s="125"/>
      <c r="AF69" s="471"/>
      <c r="AG69" s="134"/>
      <c r="AH69" s="475"/>
      <c r="AI69" s="356"/>
      <c r="AJ69" s="356"/>
      <c r="AK69" s="356"/>
      <c r="AL69" s="356"/>
      <c r="AM69" s="356"/>
      <c r="AN69" s="356"/>
      <c r="AO69" s="356"/>
      <c r="AP69" s="356"/>
      <c r="AQ69" s="356"/>
      <c r="AR69" s="476"/>
      <c r="AS69" s="140"/>
      <c r="AT69" s="125"/>
      <c r="AU69" s="471"/>
      <c r="AV69" s="134"/>
      <c r="AW69" s="475"/>
      <c r="AX69" s="356"/>
      <c r="AY69" s="356"/>
      <c r="AZ69" s="356"/>
      <c r="BA69" s="356"/>
      <c r="BB69" s="356"/>
      <c r="BC69" s="356"/>
      <c r="BD69" s="356"/>
      <c r="BE69" s="356"/>
      <c r="BF69" s="356"/>
      <c r="BG69" s="476"/>
      <c r="BH69" s="140"/>
    </row>
    <row r="70" spans="1:60" ht="11.25" customHeight="1">
      <c r="A70" s="125"/>
      <c r="B70" s="132" t="str">
        <f>IF(Roster!$AN$1=0,"",Roster!$AN$1)</f>
        <v>COST</v>
      </c>
      <c r="C70" s="133"/>
      <c r="D70" s="475"/>
      <c r="E70" s="356"/>
      <c r="F70" s="356"/>
      <c r="G70" s="356"/>
      <c r="H70" s="356"/>
      <c r="I70" s="356"/>
      <c r="J70" s="356"/>
      <c r="K70" s="356"/>
      <c r="L70" s="356"/>
      <c r="M70" s="356"/>
      <c r="N70" s="476"/>
      <c r="O70" s="143"/>
      <c r="P70" s="125"/>
      <c r="Q70" s="132" t="str">
        <f>IF(Roster!$AN$1=0,"",Roster!$AN$1)</f>
        <v>COST</v>
      </c>
      <c r="R70" s="133"/>
      <c r="S70" s="475"/>
      <c r="T70" s="356"/>
      <c r="U70" s="356"/>
      <c r="V70" s="356"/>
      <c r="W70" s="356"/>
      <c r="X70" s="356"/>
      <c r="Y70" s="356"/>
      <c r="Z70" s="356"/>
      <c r="AA70" s="356"/>
      <c r="AB70" s="356"/>
      <c r="AC70" s="476"/>
      <c r="AD70" s="143"/>
      <c r="AE70" s="125"/>
      <c r="AF70" s="132" t="str">
        <f>IF(Roster!$AN$1=0,"",Roster!$AN$1)</f>
        <v>COST</v>
      </c>
      <c r="AG70" s="133"/>
      <c r="AH70" s="475"/>
      <c r="AI70" s="356"/>
      <c r="AJ70" s="356"/>
      <c r="AK70" s="356"/>
      <c r="AL70" s="356"/>
      <c r="AM70" s="356"/>
      <c r="AN70" s="356"/>
      <c r="AO70" s="356"/>
      <c r="AP70" s="356"/>
      <c r="AQ70" s="356"/>
      <c r="AR70" s="476"/>
      <c r="AS70" s="143"/>
      <c r="AT70" s="125"/>
      <c r="AU70" s="132" t="str">
        <f>IF(Roster!$AN$1=0,"",Roster!$AN$1)</f>
        <v>COST</v>
      </c>
      <c r="AV70" s="133"/>
      <c r="AW70" s="475"/>
      <c r="AX70" s="356"/>
      <c r="AY70" s="356"/>
      <c r="AZ70" s="356"/>
      <c r="BA70" s="356"/>
      <c r="BB70" s="356"/>
      <c r="BC70" s="356"/>
      <c r="BD70" s="356"/>
      <c r="BE70" s="356"/>
      <c r="BF70" s="356"/>
      <c r="BG70" s="476"/>
      <c r="BH70" s="143"/>
    </row>
    <row r="71" spans="1:60" ht="34.5" customHeight="1">
      <c r="A71" s="125"/>
      <c r="B71" s="145">
        <f>IF(Roster!$AN$9=0,"",Roster!$AN$9)</f>
        <v>70000</v>
      </c>
      <c r="C71" s="146"/>
      <c r="D71" s="477"/>
      <c r="E71" s="478"/>
      <c r="F71" s="478"/>
      <c r="G71" s="478"/>
      <c r="H71" s="478"/>
      <c r="I71" s="478"/>
      <c r="J71" s="478"/>
      <c r="K71" s="478"/>
      <c r="L71" s="478"/>
      <c r="M71" s="478"/>
      <c r="N71" s="479"/>
      <c r="O71" s="143"/>
      <c r="P71" s="125"/>
      <c r="Q71" s="145">
        <f>IF(Roster!$AN$10=0,"",Roster!$AN$10)</f>
        <v>70000</v>
      </c>
      <c r="R71" s="146"/>
      <c r="S71" s="477"/>
      <c r="T71" s="478"/>
      <c r="U71" s="478"/>
      <c r="V71" s="478"/>
      <c r="W71" s="478"/>
      <c r="X71" s="478"/>
      <c r="Y71" s="478"/>
      <c r="Z71" s="478"/>
      <c r="AA71" s="478"/>
      <c r="AB71" s="478"/>
      <c r="AC71" s="479"/>
      <c r="AD71" s="143"/>
      <c r="AE71" s="125"/>
      <c r="AF71" s="145">
        <f>IF(Roster!$AN$11=0,"",Roster!$AN$11)</f>
        <v>70000</v>
      </c>
      <c r="AG71" s="146"/>
      <c r="AH71" s="477"/>
      <c r="AI71" s="478"/>
      <c r="AJ71" s="478"/>
      <c r="AK71" s="478"/>
      <c r="AL71" s="478"/>
      <c r="AM71" s="478"/>
      <c r="AN71" s="478"/>
      <c r="AO71" s="478"/>
      <c r="AP71" s="478"/>
      <c r="AQ71" s="478"/>
      <c r="AR71" s="479"/>
      <c r="AS71" s="143"/>
      <c r="AT71" s="125"/>
      <c r="AU71" s="145">
        <f>IF(Roster!$AN$12=0,"",Roster!$AN$12)</f>
        <v>70000</v>
      </c>
      <c r="AV71" s="146"/>
      <c r="AW71" s="477"/>
      <c r="AX71" s="478"/>
      <c r="AY71" s="478"/>
      <c r="AZ71" s="478"/>
      <c r="BA71" s="478"/>
      <c r="BB71" s="478"/>
      <c r="BC71" s="478"/>
      <c r="BD71" s="478"/>
      <c r="BE71" s="478"/>
      <c r="BF71" s="478"/>
      <c r="BG71" s="479"/>
      <c r="BH71" s="143"/>
    </row>
    <row r="72" spans="1:60" ht="4.5" customHeight="1">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c r="A74" s="125"/>
      <c r="B74" s="489" t="str">
        <f>IF(Roster!$A$13=0,"","#"&amp;Roster!$A$13)</f>
        <v>#12</v>
      </c>
      <c r="C74" s="126"/>
      <c r="D74" s="126"/>
      <c r="E74" s="126"/>
      <c r="F74" s="126"/>
      <c r="G74" s="126"/>
      <c r="H74" s="126"/>
      <c r="I74" s="126"/>
      <c r="J74" s="126"/>
      <c r="K74" s="126"/>
      <c r="L74" s="126"/>
      <c r="M74" s="126"/>
      <c r="N74" s="126"/>
      <c r="O74" s="127"/>
      <c r="P74" s="125"/>
      <c r="Q74" s="489" t="str">
        <f>IF(Roster!$A$14=0,"","#"&amp;Roster!$A$14)</f>
        <v>#13</v>
      </c>
      <c r="R74" s="126"/>
      <c r="S74" s="126"/>
      <c r="T74" s="126"/>
      <c r="U74" s="126"/>
      <c r="V74" s="126"/>
      <c r="W74" s="126"/>
      <c r="X74" s="126"/>
      <c r="Y74" s="126"/>
      <c r="Z74" s="126"/>
      <c r="AA74" s="126"/>
      <c r="AB74" s="126"/>
      <c r="AC74" s="126"/>
      <c r="AD74" s="127"/>
      <c r="AE74" s="125"/>
      <c r="AF74" s="489" t="str">
        <f>IF(Roster!$A$15=0,"","#"&amp;Roster!$A$15)</f>
        <v>#14</v>
      </c>
      <c r="AG74" s="126"/>
      <c r="AH74" s="126"/>
      <c r="AI74" s="126"/>
      <c r="AJ74" s="126"/>
      <c r="AK74" s="126"/>
      <c r="AL74" s="126"/>
      <c r="AM74" s="126"/>
      <c r="AN74" s="126"/>
      <c r="AO74" s="126"/>
      <c r="AP74" s="126"/>
      <c r="AQ74" s="126"/>
      <c r="AR74" s="126"/>
      <c r="AS74" s="127"/>
      <c r="AT74" s="125"/>
      <c r="AU74" s="489" t="str">
        <f>IF(Roster!$A$16=0,"","#"&amp;Roster!$A$16)</f>
        <v>#15</v>
      </c>
      <c r="AV74" s="126"/>
      <c r="AW74" s="126"/>
      <c r="AX74" s="126"/>
      <c r="AY74" s="126"/>
      <c r="AZ74" s="126"/>
      <c r="BA74" s="126"/>
      <c r="BB74" s="126"/>
      <c r="BC74" s="126"/>
      <c r="BD74" s="126"/>
      <c r="BE74" s="126"/>
      <c r="BF74" s="126"/>
      <c r="BG74" s="126"/>
      <c r="BH74" s="127"/>
    </row>
    <row r="75" spans="1:60" ht="15" customHeight="1">
      <c r="A75" s="125"/>
      <c r="B75" s="490"/>
      <c r="C75" s="472" t="str">
        <f>IF(Roster!$B$13=0,"",Roster!$B$13)</f>
        <v>Tizona</v>
      </c>
      <c r="D75" s="394"/>
      <c r="E75" s="394"/>
      <c r="F75" s="394"/>
      <c r="G75" s="394"/>
      <c r="H75" s="394"/>
      <c r="I75" s="394"/>
      <c r="J75" s="394"/>
      <c r="K75" s="394"/>
      <c r="L75" s="394"/>
      <c r="M75" s="394"/>
      <c r="N75" s="395"/>
      <c r="O75" s="128"/>
      <c r="P75" s="125"/>
      <c r="Q75" s="490"/>
      <c r="R75" s="472" t="str">
        <f>IF(Roster!$B$14=0,"",Roster!$B$14)</f>
        <v>Dhu L-Fiquar</v>
      </c>
      <c r="S75" s="394"/>
      <c r="T75" s="394"/>
      <c r="U75" s="394"/>
      <c r="V75" s="394"/>
      <c r="W75" s="394"/>
      <c r="X75" s="394"/>
      <c r="Y75" s="394"/>
      <c r="Z75" s="394"/>
      <c r="AA75" s="394"/>
      <c r="AB75" s="394"/>
      <c r="AC75" s="395"/>
      <c r="AD75" s="128"/>
      <c r="AE75" s="125"/>
      <c r="AF75" s="490"/>
      <c r="AG75" s="472" t="str">
        <f>IF(Roster!$B$15=0,"",Roster!$B$15)</f>
        <v>Anduril</v>
      </c>
      <c r="AH75" s="394"/>
      <c r="AI75" s="394"/>
      <c r="AJ75" s="394"/>
      <c r="AK75" s="394"/>
      <c r="AL75" s="394"/>
      <c r="AM75" s="394"/>
      <c r="AN75" s="394"/>
      <c r="AO75" s="394"/>
      <c r="AP75" s="394"/>
      <c r="AQ75" s="394"/>
      <c r="AR75" s="395"/>
      <c r="AS75" s="128"/>
      <c r="AT75" s="125"/>
      <c r="AU75" s="490"/>
      <c r="AV75" s="472" t="str">
        <f>IF(Roster!$B$16=0,"",Roster!$B$16)</f>
        <v>Glamdring</v>
      </c>
      <c r="AW75" s="394"/>
      <c r="AX75" s="394"/>
      <c r="AY75" s="394"/>
      <c r="AZ75" s="394"/>
      <c r="BA75" s="394"/>
      <c r="BB75" s="394"/>
      <c r="BC75" s="394"/>
      <c r="BD75" s="394"/>
      <c r="BE75" s="394"/>
      <c r="BF75" s="394"/>
      <c r="BG75" s="395"/>
      <c r="BH75" s="128"/>
    </row>
    <row r="76" spans="1:60" ht="11.25" customHeight="1">
      <c r="A76" s="125"/>
      <c r="B76" s="491"/>
      <c r="C76" s="473" t="str">
        <f>IF(Roster!$C$13=0,"",Roster!$C$13)</f>
        <v>Lineman</v>
      </c>
      <c r="D76" s="394"/>
      <c r="E76" s="394"/>
      <c r="F76" s="394"/>
      <c r="G76" s="394"/>
      <c r="H76" s="394"/>
      <c r="I76" s="394"/>
      <c r="J76" s="394"/>
      <c r="K76" s="394"/>
      <c r="L76" s="394"/>
      <c r="M76" s="394"/>
      <c r="N76" s="395"/>
      <c r="O76" s="129"/>
      <c r="P76" s="125"/>
      <c r="Q76" s="491"/>
      <c r="R76" s="473" t="str">
        <f>IF(Roster!$C$14=0,"",Roster!$C$14)</f>
        <v>Lineman</v>
      </c>
      <c r="S76" s="394"/>
      <c r="T76" s="394"/>
      <c r="U76" s="394"/>
      <c r="V76" s="394"/>
      <c r="W76" s="394"/>
      <c r="X76" s="394"/>
      <c r="Y76" s="394"/>
      <c r="Z76" s="394"/>
      <c r="AA76" s="394"/>
      <c r="AB76" s="394"/>
      <c r="AC76" s="395"/>
      <c r="AD76" s="129"/>
      <c r="AE76" s="125"/>
      <c r="AF76" s="491"/>
      <c r="AG76" s="473" t="str">
        <f>IF(Roster!$C$15=0,"",Roster!$C$15)</f>
        <v>Lineman</v>
      </c>
      <c r="AH76" s="394"/>
      <c r="AI76" s="394"/>
      <c r="AJ76" s="394"/>
      <c r="AK76" s="394"/>
      <c r="AL76" s="394"/>
      <c r="AM76" s="394"/>
      <c r="AN76" s="394"/>
      <c r="AO76" s="394"/>
      <c r="AP76" s="394"/>
      <c r="AQ76" s="394"/>
      <c r="AR76" s="395"/>
      <c r="AS76" s="129"/>
      <c r="AT76" s="125"/>
      <c r="AU76" s="491"/>
      <c r="AV76" s="473" t="str">
        <f>IF(Roster!$C$16=0,"",Roster!$C$16)</f>
        <v>Lineman</v>
      </c>
      <c r="AW76" s="394"/>
      <c r="AX76" s="394"/>
      <c r="AY76" s="394"/>
      <c r="AZ76" s="394"/>
      <c r="BA76" s="394"/>
      <c r="BB76" s="394"/>
      <c r="BC76" s="394"/>
      <c r="BD76" s="394"/>
      <c r="BE76" s="394"/>
      <c r="BF76" s="394"/>
      <c r="BG76" s="395"/>
      <c r="BH76" s="129"/>
    </row>
    <row r="77" spans="1:60" ht="11.25" customHeight="1">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c r="A78" s="125"/>
      <c r="B78" s="135">
        <f>IF(Roster!$J$13=0,"",Roster!$J$13)</f>
        <v>6</v>
      </c>
      <c r="C78" s="133"/>
      <c r="D78" s="474"/>
      <c r="E78" s="307"/>
      <c r="F78" s="307"/>
      <c r="G78" s="307"/>
      <c r="H78" s="307"/>
      <c r="I78" s="307"/>
      <c r="J78" s="307"/>
      <c r="K78" s="307"/>
      <c r="L78" s="307"/>
      <c r="M78" s="307"/>
      <c r="N78" s="308"/>
      <c r="O78" s="128"/>
      <c r="P78" s="125"/>
      <c r="Q78" s="135">
        <f>IF(Roster!$J$14=0,"",Roster!$J$14)</f>
        <v>6</v>
      </c>
      <c r="R78" s="133"/>
      <c r="S78" s="474"/>
      <c r="T78" s="307"/>
      <c r="U78" s="307"/>
      <c r="V78" s="307"/>
      <c r="W78" s="307"/>
      <c r="X78" s="307"/>
      <c r="Y78" s="307"/>
      <c r="Z78" s="307"/>
      <c r="AA78" s="307"/>
      <c r="AB78" s="307"/>
      <c r="AC78" s="308"/>
      <c r="AD78" s="128"/>
      <c r="AE78" s="125"/>
      <c r="AF78" s="135">
        <f>IF(Roster!$J$15=0,"",Roster!$J$15)</f>
        <v>6</v>
      </c>
      <c r="AG78" s="133"/>
      <c r="AH78" s="474"/>
      <c r="AI78" s="307"/>
      <c r="AJ78" s="307"/>
      <c r="AK78" s="307"/>
      <c r="AL78" s="307"/>
      <c r="AM78" s="307"/>
      <c r="AN78" s="307"/>
      <c r="AO78" s="307"/>
      <c r="AP78" s="307"/>
      <c r="AQ78" s="307"/>
      <c r="AR78" s="308"/>
      <c r="AS78" s="128"/>
      <c r="AT78" s="125"/>
      <c r="AU78" s="135">
        <f>IF(Roster!$J$16=0,"",Roster!$J$16)</f>
        <v>6</v>
      </c>
      <c r="AV78" s="133"/>
      <c r="AW78" s="474"/>
      <c r="AX78" s="307"/>
      <c r="AY78" s="307"/>
      <c r="AZ78" s="307"/>
      <c r="BA78" s="307"/>
      <c r="BB78" s="307"/>
      <c r="BC78" s="307"/>
      <c r="BD78" s="307"/>
      <c r="BE78" s="307"/>
      <c r="BF78" s="307"/>
      <c r="BG78" s="308"/>
      <c r="BH78" s="128"/>
    </row>
    <row r="79" spans="1:60" ht="11.25" customHeight="1">
      <c r="A79" s="125"/>
      <c r="B79" s="132" t="str">
        <f>IF(Roster!$K$1=0,"",Roster!$K$1)</f>
        <v>ST</v>
      </c>
      <c r="C79" s="133"/>
      <c r="D79" s="475"/>
      <c r="E79" s="356"/>
      <c r="F79" s="356"/>
      <c r="G79" s="356"/>
      <c r="H79" s="356"/>
      <c r="I79" s="356"/>
      <c r="J79" s="356"/>
      <c r="K79" s="356"/>
      <c r="L79" s="356"/>
      <c r="M79" s="356"/>
      <c r="N79" s="476"/>
      <c r="O79" s="128"/>
      <c r="P79" s="125"/>
      <c r="Q79" s="132" t="str">
        <f>IF(Roster!$K$1=0,"",Roster!$K$1)</f>
        <v>ST</v>
      </c>
      <c r="R79" s="133"/>
      <c r="S79" s="475"/>
      <c r="T79" s="356"/>
      <c r="U79" s="356"/>
      <c r="V79" s="356"/>
      <c r="W79" s="356"/>
      <c r="X79" s="356"/>
      <c r="Y79" s="356"/>
      <c r="Z79" s="356"/>
      <c r="AA79" s="356"/>
      <c r="AB79" s="356"/>
      <c r="AC79" s="476"/>
      <c r="AD79" s="128"/>
      <c r="AE79" s="125"/>
      <c r="AF79" s="132" t="str">
        <f>IF(Roster!$K$1=0,"",Roster!$K$1)</f>
        <v>ST</v>
      </c>
      <c r="AG79" s="133"/>
      <c r="AH79" s="475"/>
      <c r="AI79" s="356"/>
      <c r="AJ79" s="356"/>
      <c r="AK79" s="356"/>
      <c r="AL79" s="356"/>
      <c r="AM79" s="356"/>
      <c r="AN79" s="356"/>
      <c r="AO79" s="356"/>
      <c r="AP79" s="356"/>
      <c r="AQ79" s="356"/>
      <c r="AR79" s="476"/>
      <c r="AS79" s="128"/>
      <c r="AT79" s="125"/>
      <c r="AU79" s="132" t="str">
        <f>IF(Roster!$K$1=0,"",Roster!$K$1)</f>
        <v>ST</v>
      </c>
      <c r="AV79" s="133"/>
      <c r="AW79" s="475"/>
      <c r="AX79" s="356"/>
      <c r="AY79" s="356"/>
      <c r="AZ79" s="356"/>
      <c r="BA79" s="356"/>
      <c r="BB79" s="356"/>
      <c r="BC79" s="356"/>
      <c r="BD79" s="356"/>
      <c r="BE79" s="356"/>
      <c r="BF79" s="356"/>
      <c r="BG79" s="476"/>
      <c r="BH79" s="128"/>
    </row>
    <row r="80" spans="1:60" ht="37.5" customHeight="1">
      <c r="A80" s="125"/>
      <c r="B80" s="135">
        <f>IF(Roster!$K$13=0,"",Roster!$K$13)</f>
        <v>3</v>
      </c>
      <c r="C80" s="133"/>
      <c r="D80" s="475"/>
      <c r="E80" s="356"/>
      <c r="F80" s="356"/>
      <c r="G80" s="356"/>
      <c r="H80" s="356"/>
      <c r="I80" s="356"/>
      <c r="J80" s="356"/>
      <c r="K80" s="356"/>
      <c r="L80" s="356"/>
      <c r="M80" s="356"/>
      <c r="N80" s="476"/>
      <c r="O80" s="128"/>
      <c r="P80" s="125"/>
      <c r="Q80" s="135">
        <f>IF(Roster!$K$14=0,"",Roster!$K$14)</f>
        <v>3</v>
      </c>
      <c r="R80" s="133"/>
      <c r="S80" s="475"/>
      <c r="T80" s="356"/>
      <c r="U80" s="356"/>
      <c r="V80" s="356"/>
      <c r="W80" s="356"/>
      <c r="X80" s="356"/>
      <c r="Y80" s="356"/>
      <c r="Z80" s="356"/>
      <c r="AA80" s="356"/>
      <c r="AB80" s="356"/>
      <c r="AC80" s="476"/>
      <c r="AD80" s="128"/>
      <c r="AE80" s="125"/>
      <c r="AF80" s="135">
        <f>IF(Roster!$K$15=0,"",Roster!$K$15)</f>
        <v>3</v>
      </c>
      <c r="AG80" s="133"/>
      <c r="AH80" s="475"/>
      <c r="AI80" s="356"/>
      <c r="AJ80" s="356"/>
      <c r="AK80" s="356"/>
      <c r="AL80" s="356"/>
      <c r="AM80" s="356"/>
      <c r="AN80" s="356"/>
      <c r="AO80" s="356"/>
      <c r="AP80" s="356"/>
      <c r="AQ80" s="356"/>
      <c r="AR80" s="476"/>
      <c r="AS80" s="128"/>
      <c r="AT80" s="125"/>
      <c r="AU80" s="135">
        <f>IF(Roster!$K$16=0,"",Roster!$K$16)</f>
        <v>3</v>
      </c>
      <c r="AV80" s="133"/>
      <c r="AW80" s="475"/>
      <c r="AX80" s="356"/>
      <c r="AY80" s="356"/>
      <c r="AZ80" s="356"/>
      <c r="BA80" s="356"/>
      <c r="BB80" s="356"/>
      <c r="BC80" s="356"/>
      <c r="BD80" s="356"/>
      <c r="BE80" s="356"/>
      <c r="BF80" s="356"/>
      <c r="BG80" s="476"/>
      <c r="BH80" s="128"/>
    </row>
    <row r="81" spans="1:60" ht="11.25" customHeight="1">
      <c r="A81" s="125"/>
      <c r="B81" s="132" t="str">
        <f>IF(Roster!$L$1=0,"",Roster!$L$1)</f>
        <v>AG</v>
      </c>
      <c r="C81" s="133"/>
      <c r="D81" s="475"/>
      <c r="E81" s="356"/>
      <c r="F81" s="356"/>
      <c r="G81" s="356"/>
      <c r="H81" s="356"/>
      <c r="I81" s="356"/>
      <c r="J81" s="356"/>
      <c r="K81" s="356"/>
      <c r="L81" s="356"/>
      <c r="M81" s="356"/>
      <c r="N81" s="476"/>
      <c r="O81" s="128"/>
      <c r="P81" s="125"/>
      <c r="Q81" s="132" t="str">
        <f>IF(Roster!$L$1=0,"",Roster!$L$1)</f>
        <v>AG</v>
      </c>
      <c r="R81" s="133"/>
      <c r="S81" s="475"/>
      <c r="T81" s="356"/>
      <c r="U81" s="356"/>
      <c r="V81" s="356"/>
      <c r="W81" s="356"/>
      <c r="X81" s="356"/>
      <c r="Y81" s="356"/>
      <c r="Z81" s="356"/>
      <c r="AA81" s="356"/>
      <c r="AB81" s="356"/>
      <c r="AC81" s="476"/>
      <c r="AD81" s="128"/>
      <c r="AE81" s="125"/>
      <c r="AF81" s="132" t="str">
        <f>IF(Roster!$L$1=0,"",Roster!$L$1)</f>
        <v>AG</v>
      </c>
      <c r="AG81" s="133"/>
      <c r="AH81" s="475"/>
      <c r="AI81" s="356"/>
      <c r="AJ81" s="356"/>
      <c r="AK81" s="356"/>
      <c r="AL81" s="356"/>
      <c r="AM81" s="356"/>
      <c r="AN81" s="356"/>
      <c r="AO81" s="356"/>
      <c r="AP81" s="356"/>
      <c r="AQ81" s="356"/>
      <c r="AR81" s="476"/>
      <c r="AS81" s="128"/>
      <c r="AT81" s="125"/>
      <c r="AU81" s="132" t="str">
        <f>IF(Roster!$L$1=0,"",Roster!$L$1)</f>
        <v>AG</v>
      </c>
      <c r="AV81" s="133"/>
      <c r="AW81" s="475"/>
      <c r="AX81" s="356"/>
      <c r="AY81" s="356"/>
      <c r="AZ81" s="356"/>
      <c r="BA81" s="356"/>
      <c r="BB81" s="356"/>
      <c r="BC81" s="356"/>
      <c r="BD81" s="356"/>
      <c r="BE81" s="356"/>
      <c r="BF81" s="356"/>
      <c r="BG81" s="476"/>
      <c r="BH81" s="128"/>
    </row>
    <row r="82" spans="1:60" ht="37.5" customHeight="1">
      <c r="A82" s="125"/>
      <c r="B82" s="135" t="str">
        <f>IF(Roster!$L$13=0&amp;"+","",Roster!$L$13)</f>
        <v>2+</v>
      </c>
      <c r="C82" s="133"/>
      <c r="D82" s="475"/>
      <c r="E82" s="356"/>
      <c r="F82" s="356"/>
      <c r="G82" s="356"/>
      <c r="H82" s="356"/>
      <c r="I82" s="356"/>
      <c r="J82" s="356"/>
      <c r="K82" s="356"/>
      <c r="L82" s="356"/>
      <c r="M82" s="356"/>
      <c r="N82" s="476"/>
      <c r="O82" s="128"/>
      <c r="P82" s="125"/>
      <c r="Q82" s="135" t="str">
        <f>IF(Roster!$L$14=0&amp;"+","",Roster!$L$14)</f>
        <v>2+</v>
      </c>
      <c r="R82" s="133"/>
      <c r="S82" s="475"/>
      <c r="T82" s="356"/>
      <c r="U82" s="356"/>
      <c r="V82" s="356"/>
      <c r="W82" s="356"/>
      <c r="X82" s="356"/>
      <c r="Y82" s="356"/>
      <c r="Z82" s="356"/>
      <c r="AA82" s="356"/>
      <c r="AB82" s="356"/>
      <c r="AC82" s="476"/>
      <c r="AD82" s="128"/>
      <c r="AE82" s="125"/>
      <c r="AF82" s="135" t="str">
        <f>IF(Roster!$L$15=0&amp;"+","",Roster!$L$15)</f>
        <v>2+</v>
      </c>
      <c r="AG82" s="133"/>
      <c r="AH82" s="475"/>
      <c r="AI82" s="356"/>
      <c r="AJ82" s="356"/>
      <c r="AK82" s="356"/>
      <c r="AL82" s="356"/>
      <c r="AM82" s="356"/>
      <c r="AN82" s="356"/>
      <c r="AO82" s="356"/>
      <c r="AP82" s="356"/>
      <c r="AQ82" s="356"/>
      <c r="AR82" s="476"/>
      <c r="AS82" s="128"/>
      <c r="AT82" s="125"/>
      <c r="AU82" s="135" t="str">
        <f>IF(Roster!$L$16=0&amp;"+","",Roster!$L$16)</f>
        <v>2+</v>
      </c>
      <c r="AV82" s="133"/>
      <c r="AW82" s="475"/>
      <c r="AX82" s="356"/>
      <c r="AY82" s="356"/>
      <c r="AZ82" s="356"/>
      <c r="BA82" s="356"/>
      <c r="BB82" s="356"/>
      <c r="BC82" s="356"/>
      <c r="BD82" s="356"/>
      <c r="BE82" s="356"/>
      <c r="BF82" s="356"/>
      <c r="BG82" s="476"/>
      <c r="BH82" s="128"/>
    </row>
    <row r="83" spans="1:60" ht="11.25" customHeight="1">
      <c r="A83" s="125"/>
      <c r="B83" s="132" t="str">
        <f>IF(Roster!$M$1=0,"",Roster!$M$1)</f>
        <v>PA</v>
      </c>
      <c r="C83" s="133"/>
      <c r="D83" s="475"/>
      <c r="E83" s="356"/>
      <c r="F83" s="356"/>
      <c r="G83" s="356"/>
      <c r="H83" s="356"/>
      <c r="I83" s="356"/>
      <c r="J83" s="356"/>
      <c r="K83" s="356"/>
      <c r="L83" s="356"/>
      <c r="M83" s="356"/>
      <c r="N83" s="476"/>
      <c r="O83" s="137"/>
      <c r="P83" s="125"/>
      <c r="Q83" s="132" t="str">
        <f>IF(Roster!$M$1=0,"",Roster!$M$1)</f>
        <v>PA</v>
      </c>
      <c r="R83" s="133"/>
      <c r="S83" s="475"/>
      <c r="T83" s="356"/>
      <c r="U83" s="356"/>
      <c r="V83" s="356"/>
      <c r="W83" s="356"/>
      <c r="X83" s="356"/>
      <c r="Y83" s="356"/>
      <c r="Z83" s="356"/>
      <c r="AA83" s="356"/>
      <c r="AB83" s="356"/>
      <c r="AC83" s="476"/>
      <c r="AD83" s="137"/>
      <c r="AE83" s="125"/>
      <c r="AF83" s="132" t="str">
        <f>IF(Roster!$M$1=0,"",Roster!$M$1)</f>
        <v>PA</v>
      </c>
      <c r="AG83" s="133"/>
      <c r="AH83" s="475"/>
      <c r="AI83" s="356"/>
      <c r="AJ83" s="356"/>
      <c r="AK83" s="356"/>
      <c r="AL83" s="356"/>
      <c r="AM83" s="356"/>
      <c r="AN83" s="356"/>
      <c r="AO83" s="356"/>
      <c r="AP83" s="356"/>
      <c r="AQ83" s="356"/>
      <c r="AR83" s="476"/>
      <c r="AS83" s="137"/>
      <c r="AT83" s="125"/>
      <c r="AU83" s="132" t="str">
        <f>IF(Roster!$M$1=0,"",Roster!$M$1)</f>
        <v>PA</v>
      </c>
      <c r="AV83" s="133"/>
      <c r="AW83" s="475"/>
      <c r="AX83" s="356"/>
      <c r="AY83" s="356"/>
      <c r="AZ83" s="356"/>
      <c r="BA83" s="356"/>
      <c r="BB83" s="356"/>
      <c r="BC83" s="356"/>
      <c r="BD83" s="356"/>
      <c r="BE83" s="356"/>
      <c r="BF83" s="356"/>
      <c r="BG83" s="476"/>
      <c r="BH83" s="137"/>
    </row>
    <row r="84" spans="1:60" ht="6" customHeight="1">
      <c r="A84" s="125"/>
      <c r="B84" s="469" t="str">
        <f>IF(Roster!$M$13=0&amp;"+","",Roster!$M$13)</f>
        <v>4+</v>
      </c>
      <c r="C84" s="133"/>
      <c r="D84" s="477"/>
      <c r="E84" s="478"/>
      <c r="F84" s="478"/>
      <c r="G84" s="478"/>
      <c r="H84" s="478"/>
      <c r="I84" s="478"/>
      <c r="J84" s="478"/>
      <c r="K84" s="478"/>
      <c r="L84" s="478"/>
      <c r="M84" s="478"/>
      <c r="N84" s="479"/>
      <c r="O84" s="139"/>
      <c r="P84" s="125"/>
      <c r="Q84" s="469" t="str">
        <f>IF(Roster!$M$14=0&amp;"+","",Roster!$M$14)</f>
        <v>4+</v>
      </c>
      <c r="R84" s="133"/>
      <c r="S84" s="477"/>
      <c r="T84" s="478"/>
      <c r="U84" s="478"/>
      <c r="V84" s="478"/>
      <c r="W84" s="478"/>
      <c r="X84" s="478"/>
      <c r="Y84" s="478"/>
      <c r="Z84" s="478"/>
      <c r="AA84" s="478"/>
      <c r="AB84" s="478"/>
      <c r="AC84" s="479"/>
      <c r="AD84" s="139"/>
      <c r="AE84" s="125"/>
      <c r="AF84" s="469" t="str">
        <f>IF(Roster!$M$15=0&amp;"+","",Roster!$M$15)</f>
        <v>4+</v>
      </c>
      <c r="AG84" s="133"/>
      <c r="AH84" s="477"/>
      <c r="AI84" s="478"/>
      <c r="AJ84" s="478"/>
      <c r="AK84" s="478"/>
      <c r="AL84" s="478"/>
      <c r="AM84" s="478"/>
      <c r="AN84" s="478"/>
      <c r="AO84" s="478"/>
      <c r="AP84" s="478"/>
      <c r="AQ84" s="478"/>
      <c r="AR84" s="479"/>
      <c r="AS84" s="139"/>
      <c r="AT84" s="125"/>
      <c r="AU84" s="469" t="str">
        <f>IF(Roster!$M$16=0&amp;"+","",Roster!$M$16)</f>
        <v>4+</v>
      </c>
      <c r="AV84" s="133"/>
      <c r="AW84" s="477"/>
      <c r="AX84" s="478"/>
      <c r="AY84" s="478"/>
      <c r="AZ84" s="478"/>
      <c r="BA84" s="478"/>
      <c r="BB84" s="478"/>
      <c r="BC84" s="478"/>
      <c r="BD84" s="478"/>
      <c r="BE84" s="478"/>
      <c r="BF84" s="478"/>
      <c r="BG84" s="479"/>
      <c r="BH84" s="139"/>
    </row>
    <row r="85" spans="1:60" ht="4.5" customHeight="1">
      <c r="A85" s="125"/>
      <c r="B85" s="470"/>
      <c r="C85" s="131"/>
      <c r="D85" s="125"/>
      <c r="E85" s="138"/>
      <c r="F85" s="125"/>
      <c r="G85" s="138"/>
      <c r="H85" s="125"/>
      <c r="I85" s="138"/>
      <c r="J85" s="125"/>
      <c r="K85" s="138"/>
      <c r="L85" s="125"/>
      <c r="M85" s="138"/>
      <c r="N85" s="125"/>
      <c r="O85" s="139"/>
      <c r="P85" s="125"/>
      <c r="Q85" s="470"/>
      <c r="R85" s="131"/>
      <c r="S85" s="125"/>
      <c r="T85" s="138"/>
      <c r="U85" s="125"/>
      <c r="V85" s="138"/>
      <c r="W85" s="125"/>
      <c r="X85" s="138"/>
      <c r="Y85" s="125"/>
      <c r="Z85" s="138"/>
      <c r="AA85" s="125"/>
      <c r="AB85" s="138"/>
      <c r="AC85" s="125"/>
      <c r="AD85" s="139"/>
      <c r="AE85" s="125"/>
      <c r="AF85" s="470"/>
      <c r="AG85" s="131"/>
      <c r="AH85" s="125"/>
      <c r="AI85" s="138"/>
      <c r="AJ85" s="125"/>
      <c r="AK85" s="138"/>
      <c r="AL85" s="125"/>
      <c r="AM85" s="138"/>
      <c r="AN85" s="125"/>
      <c r="AO85" s="138"/>
      <c r="AP85" s="125"/>
      <c r="AQ85" s="138"/>
      <c r="AR85" s="125"/>
      <c r="AS85" s="139"/>
      <c r="AT85" s="125"/>
      <c r="AU85" s="470"/>
      <c r="AV85" s="131"/>
      <c r="AW85" s="125"/>
      <c r="AX85" s="138"/>
      <c r="AY85" s="125"/>
      <c r="AZ85" s="138"/>
      <c r="BA85" s="125"/>
      <c r="BB85" s="138"/>
      <c r="BC85" s="125"/>
      <c r="BD85" s="138"/>
      <c r="BE85" s="125"/>
      <c r="BF85" s="138"/>
      <c r="BG85" s="125"/>
      <c r="BH85" s="139"/>
    </row>
    <row r="86" spans="1:60" ht="11.25" customHeight="1">
      <c r="A86" s="125"/>
      <c r="B86" s="470"/>
      <c r="C86" s="131"/>
      <c r="D86" s="480" t="str">
        <f>IF(Roster!$J$24="Italiano","ABILITÀ &amp; TRATTI",(IF(Roster!$J$24="Español","HABILIDADES Y RASGOS","SKILLS &amp; TRAITS")))</f>
        <v>SKILLS &amp; TRAITS</v>
      </c>
      <c r="E86" s="481"/>
      <c r="F86" s="481"/>
      <c r="G86" s="481"/>
      <c r="H86" s="481"/>
      <c r="I86" s="481"/>
      <c r="J86" s="481"/>
      <c r="K86" s="481"/>
      <c r="L86" s="481"/>
      <c r="M86" s="481"/>
      <c r="N86" s="482"/>
      <c r="O86" s="139"/>
      <c r="P86" s="125"/>
      <c r="Q86" s="470"/>
      <c r="R86" s="131"/>
      <c r="S86" s="480" t="str">
        <f>IF(Roster!$J$24="Italiano","ABILITÀ &amp; TRATTI",(IF(Roster!$J$24="Español","HABILIDADES Y RASGOS","SKILLS &amp; TRAITS")))</f>
        <v>SKILLS &amp; TRAITS</v>
      </c>
      <c r="T86" s="481"/>
      <c r="U86" s="481"/>
      <c r="V86" s="481"/>
      <c r="W86" s="481"/>
      <c r="X86" s="481"/>
      <c r="Y86" s="481"/>
      <c r="Z86" s="481"/>
      <c r="AA86" s="481"/>
      <c r="AB86" s="481"/>
      <c r="AC86" s="482"/>
      <c r="AD86" s="139"/>
      <c r="AE86" s="125"/>
      <c r="AF86" s="470"/>
      <c r="AG86" s="131"/>
      <c r="AH86" s="480" t="str">
        <f>IF(Roster!$J$24="Italiano","ABILITÀ &amp; TRATTI",(IF(Roster!$J$24="Español","HABILIDADES Y RASGOS","SKILLS &amp; TRAITS")))</f>
        <v>SKILLS &amp; TRAITS</v>
      </c>
      <c r="AI86" s="481"/>
      <c r="AJ86" s="481"/>
      <c r="AK86" s="481"/>
      <c r="AL86" s="481"/>
      <c r="AM86" s="481"/>
      <c r="AN86" s="481"/>
      <c r="AO86" s="481"/>
      <c r="AP86" s="481"/>
      <c r="AQ86" s="481"/>
      <c r="AR86" s="482"/>
      <c r="AS86" s="139"/>
      <c r="AT86" s="125"/>
      <c r="AU86" s="470"/>
      <c r="AV86" s="131"/>
      <c r="AW86" s="480" t="str">
        <f>IF(Roster!$J$24="Italiano","ABILITÀ &amp; TRATTI",(IF(Roster!$J$24="Español","HABILIDADES Y RASGOS","SKILLS &amp; TRAITS")))</f>
        <v>SKILLS &amp; TRAITS</v>
      </c>
      <c r="AX86" s="481"/>
      <c r="AY86" s="481"/>
      <c r="AZ86" s="481"/>
      <c r="BA86" s="481"/>
      <c r="BB86" s="481"/>
      <c r="BC86" s="481"/>
      <c r="BD86" s="481"/>
      <c r="BE86" s="481"/>
      <c r="BF86" s="481"/>
      <c r="BG86" s="482"/>
      <c r="BH86" s="139"/>
    </row>
    <row r="87" spans="1:60" ht="15" customHeight="1">
      <c r="A87" s="125"/>
      <c r="B87" s="470"/>
      <c r="C87" s="134"/>
      <c r="D87" s="483" t="str">
        <f>IF(Roster!$O$13=0,"",Roster!$O$13&amp;Roster!BF13)</f>
        <v/>
      </c>
      <c r="E87" s="447"/>
      <c r="F87" s="447"/>
      <c r="G87" s="447"/>
      <c r="H87" s="447"/>
      <c r="I87" s="447"/>
      <c r="J87" s="447"/>
      <c r="K87" s="447"/>
      <c r="L87" s="447"/>
      <c r="M87" s="447"/>
      <c r="N87" s="484"/>
      <c r="O87" s="139"/>
      <c r="P87" s="125"/>
      <c r="Q87" s="470"/>
      <c r="R87" s="134"/>
      <c r="S87" s="483" t="str">
        <f>IF(Roster!$O$14=0,"",Roster!$O$14&amp;Roster!BF14)</f>
        <v/>
      </c>
      <c r="T87" s="447"/>
      <c r="U87" s="447"/>
      <c r="V87" s="447"/>
      <c r="W87" s="447"/>
      <c r="X87" s="447"/>
      <c r="Y87" s="447"/>
      <c r="Z87" s="447"/>
      <c r="AA87" s="447"/>
      <c r="AB87" s="447"/>
      <c r="AC87" s="484"/>
      <c r="AD87" s="139"/>
      <c r="AE87" s="125"/>
      <c r="AF87" s="470"/>
      <c r="AG87" s="134"/>
      <c r="AH87" s="483" t="str">
        <f>IF(Roster!$O$15=0,"",Roster!$O$15&amp;Roster!BF15)</f>
        <v/>
      </c>
      <c r="AI87" s="447"/>
      <c r="AJ87" s="447"/>
      <c r="AK87" s="447"/>
      <c r="AL87" s="447"/>
      <c r="AM87" s="447"/>
      <c r="AN87" s="447"/>
      <c r="AO87" s="447"/>
      <c r="AP87" s="447"/>
      <c r="AQ87" s="447"/>
      <c r="AR87" s="484"/>
      <c r="AS87" s="139"/>
      <c r="AT87" s="125"/>
      <c r="AU87" s="470"/>
      <c r="AV87" s="134"/>
      <c r="AW87" s="483" t="str">
        <f>IF(Roster!$O$16=0,"",Roster!$O$16&amp;Roster!BF16)</f>
        <v/>
      </c>
      <c r="AX87" s="447"/>
      <c r="AY87" s="447"/>
      <c r="AZ87" s="447"/>
      <c r="BA87" s="447"/>
      <c r="BB87" s="447"/>
      <c r="BC87" s="447"/>
      <c r="BD87" s="447"/>
      <c r="BE87" s="447"/>
      <c r="BF87" s="447"/>
      <c r="BG87" s="484"/>
      <c r="BH87" s="139"/>
    </row>
    <row r="88" spans="1:60" ht="4.5" customHeight="1">
      <c r="A88" s="125"/>
      <c r="B88" s="471"/>
      <c r="C88" s="134"/>
      <c r="D88" s="475"/>
      <c r="E88" s="356"/>
      <c r="F88" s="356"/>
      <c r="G88" s="356"/>
      <c r="H88" s="356"/>
      <c r="I88" s="356"/>
      <c r="J88" s="356"/>
      <c r="K88" s="356"/>
      <c r="L88" s="356"/>
      <c r="M88" s="356"/>
      <c r="N88" s="476"/>
      <c r="O88" s="139"/>
      <c r="P88" s="125"/>
      <c r="Q88" s="471"/>
      <c r="R88" s="134"/>
      <c r="S88" s="475"/>
      <c r="T88" s="356"/>
      <c r="U88" s="356"/>
      <c r="V88" s="356"/>
      <c r="W88" s="356"/>
      <c r="X88" s="356"/>
      <c r="Y88" s="356"/>
      <c r="Z88" s="356"/>
      <c r="AA88" s="356"/>
      <c r="AB88" s="356"/>
      <c r="AC88" s="476"/>
      <c r="AD88" s="139"/>
      <c r="AE88" s="125"/>
      <c r="AF88" s="471"/>
      <c r="AG88" s="134"/>
      <c r="AH88" s="475"/>
      <c r="AI88" s="356"/>
      <c r="AJ88" s="356"/>
      <c r="AK88" s="356"/>
      <c r="AL88" s="356"/>
      <c r="AM88" s="356"/>
      <c r="AN88" s="356"/>
      <c r="AO88" s="356"/>
      <c r="AP88" s="356"/>
      <c r="AQ88" s="356"/>
      <c r="AR88" s="476"/>
      <c r="AS88" s="139"/>
      <c r="AT88" s="125"/>
      <c r="AU88" s="471"/>
      <c r="AV88" s="134"/>
      <c r="AW88" s="475"/>
      <c r="AX88" s="356"/>
      <c r="AY88" s="356"/>
      <c r="AZ88" s="356"/>
      <c r="BA88" s="356"/>
      <c r="BB88" s="356"/>
      <c r="BC88" s="356"/>
      <c r="BD88" s="356"/>
      <c r="BE88" s="356"/>
      <c r="BF88" s="356"/>
      <c r="BG88" s="476"/>
      <c r="BH88" s="139"/>
    </row>
    <row r="89" spans="1:60" ht="11.25" customHeight="1">
      <c r="A89" s="125"/>
      <c r="B89" s="132" t="str">
        <f>IF(Roster!$N$1=0,"",Roster!$N$1)</f>
        <v>AV</v>
      </c>
      <c r="C89" s="133"/>
      <c r="D89" s="475"/>
      <c r="E89" s="356"/>
      <c r="F89" s="356"/>
      <c r="G89" s="356"/>
      <c r="H89" s="356"/>
      <c r="I89" s="356"/>
      <c r="J89" s="356"/>
      <c r="K89" s="356"/>
      <c r="L89" s="356"/>
      <c r="M89" s="356"/>
      <c r="N89" s="476"/>
      <c r="O89" s="128"/>
      <c r="P89" s="125"/>
      <c r="Q89" s="132" t="str">
        <f>IF(Roster!$N$1=0,"",Roster!$N$1)</f>
        <v>AV</v>
      </c>
      <c r="R89" s="133"/>
      <c r="S89" s="475"/>
      <c r="T89" s="356"/>
      <c r="U89" s="356"/>
      <c r="V89" s="356"/>
      <c r="W89" s="356"/>
      <c r="X89" s="356"/>
      <c r="Y89" s="356"/>
      <c r="Z89" s="356"/>
      <c r="AA89" s="356"/>
      <c r="AB89" s="356"/>
      <c r="AC89" s="476"/>
      <c r="AD89" s="128"/>
      <c r="AE89" s="125"/>
      <c r="AF89" s="132" t="str">
        <f>IF(Roster!$N$1=0,"",Roster!$N$1)</f>
        <v>AV</v>
      </c>
      <c r="AG89" s="133"/>
      <c r="AH89" s="475"/>
      <c r="AI89" s="356"/>
      <c r="AJ89" s="356"/>
      <c r="AK89" s="356"/>
      <c r="AL89" s="356"/>
      <c r="AM89" s="356"/>
      <c r="AN89" s="356"/>
      <c r="AO89" s="356"/>
      <c r="AP89" s="356"/>
      <c r="AQ89" s="356"/>
      <c r="AR89" s="476"/>
      <c r="AS89" s="128"/>
      <c r="AT89" s="125"/>
      <c r="AU89" s="132" t="str">
        <f>IF(Roster!$N$1=0,"",Roster!$N$1)</f>
        <v>AV</v>
      </c>
      <c r="AV89" s="133"/>
      <c r="AW89" s="475"/>
      <c r="AX89" s="356"/>
      <c r="AY89" s="356"/>
      <c r="AZ89" s="356"/>
      <c r="BA89" s="356"/>
      <c r="BB89" s="356"/>
      <c r="BC89" s="356"/>
      <c r="BD89" s="356"/>
      <c r="BE89" s="356"/>
      <c r="BF89" s="356"/>
      <c r="BG89" s="476"/>
      <c r="BH89" s="128"/>
    </row>
    <row r="90" spans="1:60" ht="15" customHeight="1">
      <c r="A90" s="125"/>
      <c r="B90" s="469" t="str">
        <f>IF(Roster!$N$13=0&amp;"+","",Roster!$N$13)</f>
        <v>9+</v>
      </c>
      <c r="C90" s="134"/>
      <c r="D90" s="475"/>
      <c r="E90" s="356"/>
      <c r="F90" s="356"/>
      <c r="G90" s="356"/>
      <c r="H90" s="356"/>
      <c r="I90" s="356"/>
      <c r="J90" s="356"/>
      <c r="K90" s="356"/>
      <c r="L90" s="356"/>
      <c r="M90" s="356"/>
      <c r="N90" s="476"/>
      <c r="O90" s="140"/>
      <c r="P90" s="125"/>
      <c r="Q90" s="469" t="str">
        <f>IF(Roster!$N$14=0&amp;"+","",Roster!$N$14)</f>
        <v>9+</v>
      </c>
      <c r="R90" s="134"/>
      <c r="S90" s="475"/>
      <c r="T90" s="356"/>
      <c r="U90" s="356"/>
      <c r="V90" s="356"/>
      <c r="W90" s="356"/>
      <c r="X90" s="356"/>
      <c r="Y90" s="356"/>
      <c r="Z90" s="356"/>
      <c r="AA90" s="356"/>
      <c r="AB90" s="356"/>
      <c r="AC90" s="476"/>
      <c r="AD90" s="140"/>
      <c r="AE90" s="125"/>
      <c r="AF90" s="469" t="str">
        <f>IF(Roster!$N$15=0&amp;"+","",Roster!$N$15)</f>
        <v>9+</v>
      </c>
      <c r="AG90" s="134"/>
      <c r="AH90" s="475"/>
      <c r="AI90" s="356"/>
      <c r="AJ90" s="356"/>
      <c r="AK90" s="356"/>
      <c r="AL90" s="356"/>
      <c r="AM90" s="356"/>
      <c r="AN90" s="356"/>
      <c r="AO90" s="356"/>
      <c r="AP90" s="356"/>
      <c r="AQ90" s="356"/>
      <c r="AR90" s="476"/>
      <c r="AS90" s="140"/>
      <c r="AT90" s="125"/>
      <c r="AU90" s="469" t="str">
        <f>IF(Roster!$N$16=0&amp;"+","",Roster!$N$16)</f>
        <v>9+</v>
      </c>
      <c r="AV90" s="134"/>
      <c r="AW90" s="475"/>
      <c r="AX90" s="356"/>
      <c r="AY90" s="356"/>
      <c r="AZ90" s="356"/>
      <c r="BA90" s="356"/>
      <c r="BB90" s="356"/>
      <c r="BC90" s="356"/>
      <c r="BD90" s="356"/>
      <c r="BE90" s="356"/>
      <c r="BF90" s="356"/>
      <c r="BG90" s="476"/>
      <c r="BH90" s="140"/>
    </row>
    <row r="91" spans="1:60" ht="4.5" customHeight="1">
      <c r="A91" s="125"/>
      <c r="B91" s="470"/>
      <c r="C91" s="134"/>
      <c r="D91" s="475"/>
      <c r="E91" s="356"/>
      <c r="F91" s="356"/>
      <c r="G91" s="356"/>
      <c r="H91" s="356"/>
      <c r="I91" s="356"/>
      <c r="J91" s="356"/>
      <c r="K91" s="356"/>
      <c r="L91" s="356"/>
      <c r="M91" s="356"/>
      <c r="N91" s="476"/>
      <c r="O91" s="140"/>
      <c r="P91" s="125"/>
      <c r="Q91" s="470"/>
      <c r="R91" s="134"/>
      <c r="S91" s="475"/>
      <c r="T91" s="356"/>
      <c r="U91" s="356"/>
      <c r="V91" s="356"/>
      <c r="W91" s="356"/>
      <c r="X91" s="356"/>
      <c r="Y91" s="356"/>
      <c r="Z91" s="356"/>
      <c r="AA91" s="356"/>
      <c r="AB91" s="356"/>
      <c r="AC91" s="476"/>
      <c r="AD91" s="140"/>
      <c r="AE91" s="125"/>
      <c r="AF91" s="470"/>
      <c r="AG91" s="134"/>
      <c r="AH91" s="475"/>
      <c r="AI91" s="356"/>
      <c r="AJ91" s="356"/>
      <c r="AK91" s="356"/>
      <c r="AL91" s="356"/>
      <c r="AM91" s="356"/>
      <c r="AN91" s="356"/>
      <c r="AO91" s="356"/>
      <c r="AP91" s="356"/>
      <c r="AQ91" s="356"/>
      <c r="AR91" s="476"/>
      <c r="AS91" s="140"/>
      <c r="AT91" s="125"/>
      <c r="AU91" s="470"/>
      <c r="AV91" s="134"/>
      <c r="AW91" s="475"/>
      <c r="AX91" s="356"/>
      <c r="AY91" s="356"/>
      <c r="AZ91" s="356"/>
      <c r="BA91" s="356"/>
      <c r="BB91" s="356"/>
      <c r="BC91" s="356"/>
      <c r="BD91" s="356"/>
      <c r="BE91" s="356"/>
      <c r="BF91" s="356"/>
      <c r="BG91" s="476"/>
      <c r="BH91" s="140"/>
    </row>
    <row r="92" spans="1:60" ht="11.25" customHeight="1">
      <c r="A92" s="125"/>
      <c r="B92" s="470"/>
      <c r="C92" s="134"/>
      <c r="D92" s="475"/>
      <c r="E92" s="356"/>
      <c r="F92" s="356"/>
      <c r="G92" s="356"/>
      <c r="H92" s="356"/>
      <c r="I92" s="356"/>
      <c r="J92" s="356"/>
      <c r="K92" s="356"/>
      <c r="L92" s="356"/>
      <c r="M92" s="356"/>
      <c r="N92" s="476"/>
      <c r="O92" s="140"/>
      <c r="P92" s="125"/>
      <c r="Q92" s="470"/>
      <c r="R92" s="134"/>
      <c r="S92" s="475"/>
      <c r="T92" s="356"/>
      <c r="U92" s="356"/>
      <c r="V92" s="356"/>
      <c r="W92" s="356"/>
      <c r="X92" s="356"/>
      <c r="Y92" s="356"/>
      <c r="Z92" s="356"/>
      <c r="AA92" s="356"/>
      <c r="AB92" s="356"/>
      <c r="AC92" s="476"/>
      <c r="AD92" s="140"/>
      <c r="AE92" s="125"/>
      <c r="AF92" s="470"/>
      <c r="AG92" s="134"/>
      <c r="AH92" s="475"/>
      <c r="AI92" s="356"/>
      <c r="AJ92" s="356"/>
      <c r="AK92" s="356"/>
      <c r="AL92" s="356"/>
      <c r="AM92" s="356"/>
      <c r="AN92" s="356"/>
      <c r="AO92" s="356"/>
      <c r="AP92" s="356"/>
      <c r="AQ92" s="356"/>
      <c r="AR92" s="476"/>
      <c r="AS92" s="140"/>
      <c r="AT92" s="125"/>
      <c r="AU92" s="470"/>
      <c r="AV92" s="134"/>
      <c r="AW92" s="475"/>
      <c r="AX92" s="356"/>
      <c r="AY92" s="356"/>
      <c r="AZ92" s="356"/>
      <c r="BA92" s="356"/>
      <c r="BB92" s="356"/>
      <c r="BC92" s="356"/>
      <c r="BD92" s="356"/>
      <c r="BE92" s="356"/>
      <c r="BF92" s="356"/>
      <c r="BG92" s="476"/>
      <c r="BH92" s="140"/>
    </row>
    <row r="93" spans="1:60" ht="6.75" customHeight="1">
      <c r="A93" s="125"/>
      <c r="B93" s="471"/>
      <c r="C93" s="134"/>
      <c r="D93" s="475"/>
      <c r="E93" s="356"/>
      <c r="F93" s="356"/>
      <c r="G93" s="356"/>
      <c r="H93" s="356"/>
      <c r="I93" s="356"/>
      <c r="J93" s="356"/>
      <c r="K93" s="356"/>
      <c r="L93" s="356"/>
      <c r="M93" s="356"/>
      <c r="N93" s="476"/>
      <c r="O93" s="140"/>
      <c r="P93" s="125"/>
      <c r="Q93" s="471"/>
      <c r="R93" s="134"/>
      <c r="S93" s="475"/>
      <c r="T93" s="356"/>
      <c r="U93" s="356"/>
      <c r="V93" s="356"/>
      <c r="W93" s="356"/>
      <c r="X93" s="356"/>
      <c r="Y93" s="356"/>
      <c r="Z93" s="356"/>
      <c r="AA93" s="356"/>
      <c r="AB93" s="356"/>
      <c r="AC93" s="476"/>
      <c r="AD93" s="140"/>
      <c r="AE93" s="125"/>
      <c r="AF93" s="471"/>
      <c r="AG93" s="134"/>
      <c r="AH93" s="475"/>
      <c r="AI93" s="356"/>
      <c r="AJ93" s="356"/>
      <c r="AK93" s="356"/>
      <c r="AL93" s="356"/>
      <c r="AM93" s="356"/>
      <c r="AN93" s="356"/>
      <c r="AO93" s="356"/>
      <c r="AP93" s="356"/>
      <c r="AQ93" s="356"/>
      <c r="AR93" s="476"/>
      <c r="AS93" s="140"/>
      <c r="AT93" s="125"/>
      <c r="AU93" s="471"/>
      <c r="AV93" s="134"/>
      <c r="AW93" s="475"/>
      <c r="AX93" s="356"/>
      <c r="AY93" s="356"/>
      <c r="AZ93" s="356"/>
      <c r="BA93" s="356"/>
      <c r="BB93" s="356"/>
      <c r="BC93" s="356"/>
      <c r="BD93" s="356"/>
      <c r="BE93" s="356"/>
      <c r="BF93" s="356"/>
      <c r="BG93" s="476"/>
      <c r="BH93" s="140"/>
    </row>
    <row r="94" spans="1:60" ht="11.25" customHeight="1">
      <c r="A94" s="125"/>
      <c r="B94" s="132" t="str">
        <f>IF(Roster!$AN$1=0,"",Roster!$AN$1)</f>
        <v>COST</v>
      </c>
      <c r="C94" s="133"/>
      <c r="D94" s="475"/>
      <c r="E94" s="356"/>
      <c r="F94" s="356"/>
      <c r="G94" s="356"/>
      <c r="H94" s="356"/>
      <c r="I94" s="356"/>
      <c r="J94" s="356"/>
      <c r="K94" s="356"/>
      <c r="L94" s="356"/>
      <c r="M94" s="356"/>
      <c r="N94" s="476"/>
      <c r="O94" s="143"/>
      <c r="P94" s="125"/>
      <c r="Q94" s="132" t="str">
        <f>IF(Roster!$AN$1=0,"",Roster!$AN$1)</f>
        <v>COST</v>
      </c>
      <c r="R94" s="133"/>
      <c r="S94" s="475"/>
      <c r="T94" s="356"/>
      <c r="U94" s="356"/>
      <c r="V94" s="356"/>
      <c r="W94" s="356"/>
      <c r="X94" s="356"/>
      <c r="Y94" s="356"/>
      <c r="Z94" s="356"/>
      <c r="AA94" s="356"/>
      <c r="AB94" s="356"/>
      <c r="AC94" s="476"/>
      <c r="AD94" s="143"/>
      <c r="AE94" s="125"/>
      <c r="AF94" s="132" t="str">
        <f>IF(Roster!$AN$1=0,"",Roster!$AN$1)</f>
        <v>COST</v>
      </c>
      <c r="AG94" s="133"/>
      <c r="AH94" s="475"/>
      <c r="AI94" s="356"/>
      <c r="AJ94" s="356"/>
      <c r="AK94" s="356"/>
      <c r="AL94" s="356"/>
      <c r="AM94" s="356"/>
      <c r="AN94" s="356"/>
      <c r="AO94" s="356"/>
      <c r="AP94" s="356"/>
      <c r="AQ94" s="356"/>
      <c r="AR94" s="476"/>
      <c r="AS94" s="143"/>
      <c r="AT94" s="125"/>
      <c r="AU94" s="132" t="str">
        <f>IF(Roster!$AN$1=0,"",Roster!$AN$1)</f>
        <v>COST</v>
      </c>
      <c r="AV94" s="133"/>
      <c r="AW94" s="475"/>
      <c r="AX94" s="356"/>
      <c r="AY94" s="356"/>
      <c r="AZ94" s="356"/>
      <c r="BA94" s="356"/>
      <c r="BB94" s="356"/>
      <c r="BC94" s="356"/>
      <c r="BD94" s="356"/>
      <c r="BE94" s="356"/>
      <c r="BF94" s="356"/>
      <c r="BG94" s="476"/>
      <c r="BH94" s="143"/>
    </row>
    <row r="95" spans="1:60" ht="34.5" customHeight="1">
      <c r="A95" s="125"/>
      <c r="B95" s="145">
        <f>IF(Roster!$AN$13=0,"",Roster!$AN$13)</f>
        <v>70000</v>
      </c>
      <c r="C95" s="146"/>
      <c r="D95" s="477"/>
      <c r="E95" s="478"/>
      <c r="F95" s="478"/>
      <c r="G95" s="478"/>
      <c r="H95" s="478"/>
      <c r="I95" s="478"/>
      <c r="J95" s="478"/>
      <c r="K95" s="478"/>
      <c r="L95" s="478"/>
      <c r="M95" s="478"/>
      <c r="N95" s="479"/>
      <c r="O95" s="143"/>
      <c r="P95" s="125"/>
      <c r="Q95" s="145">
        <f>IF(Roster!$AN$14=0,"",Roster!$AN$14)</f>
        <v>70000</v>
      </c>
      <c r="R95" s="146"/>
      <c r="S95" s="477"/>
      <c r="T95" s="478"/>
      <c r="U95" s="478"/>
      <c r="V95" s="478"/>
      <c r="W95" s="478"/>
      <c r="X95" s="478"/>
      <c r="Y95" s="478"/>
      <c r="Z95" s="478"/>
      <c r="AA95" s="478"/>
      <c r="AB95" s="478"/>
      <c r="AC95" s="479"/>
      <c r="AD95" s="143"/>
      <c r="AE95" s="125"/>
      <c r="AF95" s="145">
        <f>IF(Roster!$AN$15=0,"",Roster!$AN$15)</f>
        <v>70000</v>
      </c>
      <c r="AG95" s="146"/>
      <c r="AH95" s="477"/>
      <c r="AI95" s="478"/>
      <c r="AJ95" s="478"/>
      <c r="AK95" s="478"/>
      <c r="AL95" s="478"/>
      <c r="AM95" s="478"/>
      <c r="AN95" s="478"/>
      <c r="AO95" s="478"/>
      <c r="AP95" s="478"/>
      <c r="AQ95" s="478"/>
      <c r="AR95" s="479"/>
      <c r="AS95" s="143"/>
      <c r="AT95" s="125"/>
      <c r="AU95" s="145">
        <f>IF(Roster!$AN$16=0,"",Roster!$AN$16)</f>
        <v>70000</v>
      </c>
      <c r="AV95" s="146"/>
      <c r="AW95" s="477"/>
      <c r="AX95" s="478"/>
      <c r="AY95" s="478"/>
      <c r="AZ95" s="478"/>
      <c r="BA95" s="478"/>
      <c r="BB95" s="478"/>
      <c r="BC95" s="478"/>
      <c r="BD95" s="478"/>
      <c r="BE95" s="478"/>
      <c r="BF95" s="478"/>
      <c r="BG95" s="479"/>
      <c r="BH95" s="143"/>
    </row>
    <row r="96" spans="1:60" ht="4.5" customHeight="1">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c r="A98" s="125"/>
      <c r="B98" s="489" t="str">
        <f>IF(Roster!$A$17=0,"","#"&amp;Roster!$A$17)</f>
        <v>#16</v>
      </c>
      <c r="C98" s="126"/>
      <c r="D98" s="126"/>
      <c r="E98" s="126"/>
      <c r="F98" s="126"/>
      <c r="G98" s="126"/>
      <c r="H98" s="126"/>
      <c r="I98" s="126"/>
      <c r="J98" s="126"/>
      <c r="K98" s="126"/>
      <c r="L98" s="126"/>
      <c r="M98" s="126"/>
      <c r="N98" s="126"/>
      <c r="O98" s="127"/>
      <c r="P98" s="125"/>
      <c r="Q98" s="496"/>
      <c r="R98" s="126"/>
      <c r="S98" s="126"/>
      <c r="T98" s="126"/>
      <c r="U98" s="126"/>
      <c r="V98" s="126"/>
      <c r="W98" s="126"/>
      <c r="X98" s="126"/>
      <c r="Y98" s="126"/>
      <c r="Z98" s="126"/>
      <c r="AA98" s="126"/>
      <c r="AB98" s="126"/>
      <c r="AC98" s="126"/>
      <c r="AD98" s="127"/>
      <c r="AE98" s="125"/>
      <c r="AF98" s="496"/>
      <c r="AG98" s="126"/>
      <c r="AH98" s="126"/>
      <c r="AI98" s="126"/>
      <c r="AJ98" s="126"/>
      <c r="AK98" s="126"/>
      <c r="AL98" s="126"/>
      <c r="AM98" s="126"/>
      <c r="AN98" s="126"/>
      <c r="AO98" s="126"/>
      <c r="AP98" s="126"/>
      <c r="AQ98" s="126"/>
      <c r="AR98" s="126"/>
      <c r="AS98" s="127"/>
      <c r="AT98" s="125"/>
      <c r="AU98" s="496"/>
      <c r="AV98" s="126"/>
      <c r="AW98" s="126"/>
      <c r="AX98" s="126"/>
      <c r="AY98" s="126"/>
      <c r="AZ98" s="126"/>
      <c r="BA98" s="126"/>
      <c r="BB98" s="126"/>
      <c r="BC98" s="126"/>
      <c r="BD98" s="126"/>
      <c r="BE98" s="126"/>
      <c r="BF98" s="126"/>
      <c r="BG98" s="126"/>
      <c r="BH98" s="209"/>
    </row>
    <row r="99" spans="1:60" ht="15" customHeight="1">
      <c r="A99" s="125"/>
      <c r="B99" s="490"/>
      <c r="C99" s="472" t="str">
        <f>IF(Roster!$B$17=0,"",Roster!$B$17)</f>
        <v/>
      </c>
      <c r="D99" s="394"/>
      <c r="E99" s="394"/>
      <c r="F99" s="394"/>
      <c r="G99" s="394"/>
      <c r="H99" s="394"/>
      <c r="I99" s="394"/>
      <c r="J99" s="394"/>
      <c r="K99" s="394"/>
      <c r="L99" s="394"/>
      <c r="M99" s="394"/>
      <c r="N99" s="395"/>
      <c r="O99" s="128"/>
      <c r="P99" s="125"/>
      <c r="Q99" s="490"/>
      <c r="R99" s="473" t="str">
        <f>IF(Roster!$B$18=0,"","("&amp;Roster!$B$18&amp;")")</f>
        <v>(Star Player &amp; Mercenary)</v>
      </c>
      <c r="S99" s="394"/>
      <c r="T99" s="394"/>
      <c r="U99" s="394"/>
      <c r="V99" s="394"/>
      <c r="W99" s="394"/>
      <c r="X99" s="394"/>
      <c r="Y99" s="394"/>
      <c r="Z99" s="394"/>
      <c r="AA99" s="394"/>
      <c r="AB99" s="394"/>
      <c r="AC99" s="395"/>
      <c r="AD99" s="128"/>
      <c r="AE99" s="125"/>
      <c r="AF99" s="490"/>
      <c r="AG99" s="473" t="str">
        <f>IF(Roster!$B$19=0,"","("&amp;Roster!$B$19&amp;")")</f>
        <v>(Star Player &amp; Mercenary)</v>
      </c>
      <c r="AH99" s="394"/>
      <c r="AI99" s="394"/>
      <c r="AJ99" s="394"/>
      <c r="AK99" s="394"/>
      <c r="AL99" s="394"/>
      <c r="AM99" s="394"/>
      <c r="AN99" s="394"/>
      <c r="AO99" s="394"/>
      <c r="AP99" s="394"/>
      <c r="AQ99" s="394"/>
      <c r="AR99" s="395"/>
      <c r="AS99" s="128"/>
      <c r="AT99" s="125"/>
      <c r="AU99" s="490"/>
      <c r="AV99" s="473" t="str">
        <f>IF(Roster!$B$20=0,"","("&amp;Roster!$B$20&amp;")")</f>
        <v>(Mercenary)</v>
      </c>
      <c r="AW99" s="394"/>
      <c r="AX99" s="394"/>
      <c r="AY99" s="394"/>
      <c r="AZ99" s="394"/>
      <c r="BA99" s="394"/>
      <c r="BB99" s="394"/>
      <c r="BC99" s="394"/>
      <c r="BD99" s="394"/>
      <c r="BE99" s="394"/>
      <c r="BF99" s="394"/>
      <c r="BG99" s="395"/>
      <c r="BH99" s="210"/>
    </row>
    <row r="100" spans="1:60" ht="11.25" customHeight="1">
      <c r="A100" s="125"/>
      <c r="B100" s="491"/>
      <c r="C100" s="473" t="str">
        <f>IF(Roster!$C$17=0,"",Roster!$C$17)</f>
        <v/>
      </c>
      <c r="D100" s="394"/>
      <c r="E100" s="394"/>
      <c r="F100" s="394"/>
      <c r="G100" s="394"/>
      <c r="H100" s="394"/>
      <c r="I100" s="394"/>
      <c r="J100" s="394"/>
      <c r="K100" s="394"/>
      <c r="L100" s="394"/>
      <c r="M100" s="394"/>
      <c r="N100" s="395"/>
      <c r="O100" s="129"/>
      <c r="P100" s="125"/>
      <c r="Q100" s="491"/>
      <c r="R100" s="14"/>
      <c r="S100" s="497" t="str">
        <f>IF(Roster!$C$18=0,"",Roster!$C$18)</f>
        <v/>
      </c>
      <c r="T100" s="356"/>
      <c r="U100" s="356"/>
      <c r="V100" s="356"/>
      <c r="W100" s="356"/>
      <c r="X100" s="356"/>
      <c r="Y100" s="356"/>
      <c r="Z100" s="356"/>
      <c r="AA100" s="356"/>
      <c r="AB100" s="356"/>
      <c r="AC100" s="356"/>
      <c r="AD100" s="129"/>
      <c r="AE100" s="125"/>
      <c r="AF100" s="491"/>
      <c r="AG100" s="14"/>
      <c r="AH100" s="497" t="str">
        <f>IF(Roster!$C$19=0,"",Roster!$C$19)</f>
        <v/>
      </c>
      <c r="AI100" s="356"/>
      <c r="AJ100" s="356"/>
      <c r="AK100" s="356"/>
      <c r="AL100" s="356"/>
      <c r="AM100" s="356"/>
      <c r="AN100" s="356"/>
      <c r="AO100" s="356"/>
      <c r="AP100" s="356"/>
      <c r="AQ100" s="356"/>
      <c r="AR100" s="356"/>
      <c r="AS100" s="129"/>
      <c r="AT100" s="125"/>
      <c r="AU100" s="491"/>
      <c r="AV100" s="14"/>
      <c r="AW100" s="497" t="str">
        <f>IF(Roster!$C$20=0,"",Roster!$C$20)</f>
        <v/>
      </c>
      <c r="AX100" s="356"/>
      <c r="AY100" s="356"/>
      <c r="AZ100" s="356"/>
      <c r="BA100" s="356"/>
      <c r="BB100" s="356"/>
      <c r="BC100" s="356"/>
      <c r="BD100" s="356"/>
      <c r="BE100" s="356"/>
      <c r="BF100" s="356"/>
      <c r="BG100" s="356"/>
      <c r="BH100" s="210"/>
    </row>
    <row r="101" spans="1:60" ht="11.25" customHeight="1">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356"/>
      <c r="T101" s="356"/>
      <c r="U101" s="356"/>
      <c r="V101" s="356"/>
      <c r="W101" s="356"/>
      <c r="X101" s="356"/>
      <c r="Y101" s="356"/>
      <c r="Z101" s="356"/>
      <c r="AA101" s="356"/>
      <c r="AB101" s="356"/>
      <c r="AC101" s="356"/>
      <c r="AD101" s="128"/>
      <c r="AE101" s="125"/>
      <c r="AF101" s="132" t="str">
        <f>IF(Roster!$J$1=0,"",Roster!$J$1)</f>
        <v>MA</v>
      </c>
      <c r="AG101" s="133"/>
      <c r="AH101" s="356"/>
      <c r="AI101" s="356"/>
      <c r="AJ101" s="356"/>
      <c r="AK101" s="356"/>
      <c r="AL101" s="356"/>
      <c r="AM101" s="356"/>
      <c r="AN101" s="356"/>
      <c r="AO101" s="356"/>
      <c r="AP101" s="356"/>
      <c r="AQ101" s="356"/>
      <c r="AR101" s="356"/>
      <c r="AS101" s="128"/>
      <c r="AT101" s="125"/>
      <c r="AU101" s="132" t="str">
        <f>IF(Roster!$J$1=0,"",Roster!$J$1)</f>
        <v>MA</v>
      </c>
      <c r="AV101" s="133"/>
      <c r="AW101" s="356"/>
      <c r="AX101" s="356"/>
      <c r="AY101" s="356"/>
      <c r="AZ101" s="356"/>
      <c r="BA101" s="356"/>
      <c r="BB101" s="356"/>
      <c r="BC101" s="356"/>
      <c r="BD101" s="356"/>
      <c r="BE101" s="356"/>
      <c r="BF101" s="356"/>
      <c r="BG101" s="356"/>
      <c r="BH101" s="210"/>
    </row>
    <row r="102" spans="1:60" ht="37.5" customHeight="1">
      <c r="A102" s="125"/>
      <c r="B102" s="135" t="str">
        <f>IF(Roster!$J$17=0,"",Roster!$J$17)</f>
        <v/>
      </c>
      <c r="C102" s="133"/>
      <c r="D102" s="474"/>
      <c r="E102" s="307"/>
      <c r="F102" s="307"/>
      <c r="G102" s="307"/>
      <c r="H102" s="307"/>
      <c r="I102" s="307"/>
      <c r="J102" s="307"/>
      <c r="K102" s="307"/>
      <c r="L102" s="307"/>
      <c r="M102" s="307"/>
      <c r="N102" s="308"/>
      <c r="O102" s="128"/>
      <c r="P102" s="125"/>
      <c r="Q102" s="135" t="str">
        <f>IF(Roster!$J$18=0,"",Roster!$J$18)</f>
        <v/>
      </c>
      <c r="R102" s="14"/>
      <c r="S102" s="356"/>
      <c r="T102" s="356"/>
      <c r="U102" s="356"/>
      <c r="V102" s="356"/>
      <c r="W102" s="356"/>
      <c r="X102" s="356"/>
      <c r="Y102" s="356"/>
      <c r="Z102" s="356"/>
      <c r="AA102" s="356"/>
      <c r="AB102" s="356"/>
      <c r="AC102" s="356"/>
      <c r="AD102" s="128"/>
      <c r="AE102" s="125"/>
      <c r="AF102" s="135" t="str">
        <f>IF(Roster!$J$19=0,"",Roster!$J$19)</f>
        <v/>
      </c>
      <c r="AG102" s="133"/>
      <c r="AH102" s="356"/>
      <c r="AI102" s="356"/>
      <c r="AJ102" s="356"/>
      <c r="AK102" s="356"/>
      <c r="AL102" s="356"/>
      <c r="AM102" s="356"/>
      <c r="AN102" s="356"/>
      <c r="AO102" s="356"/>
      <c r="AP102" s="356"/>
      <c r="AQ102" s="356"/>
      <c r="AR102" s="356"/>
      <c r="AS102" s="128"/>
      <c r="AT102" s="125"/>
      <c r="AU102" s="135" t="str">
        <f>IF(Roster!$J$20=0,"",Roster!$J$20)</f>
        <v/>
      </c>
      <c r="AV102" s="133"/>
      <c r="AW102" s="356"/>
      <c r="AX102" s="356"/>
      <c r="AY102" s="356"/>
      <c r="AZ102" s="356"/>
      <c r="BA102" s="356"/>
      <c r="BB102" s="356"/>
      <c r="BC102" s="356"/>
      <c r="BD102" s="356"/>
      <c r="BE102" s="356"/>
      <c r="BF102" s="356"/>
      <c r="BG102" s="356"/>
      <c r="BH102" s="210"/>
    </row>
    <row r="103" spans="1:60" ht="11.25" customHeight="1">
      <c r="A103" s="125"/>
      <c r="B103" s="132" t="str">
        <f>IF(Roster!$K$1=0,"",Roster!$K$1)</f>
        <v>ST</v>
      </c>
      <c r="C103" s="133"/>
      <c r="D103" s="475"/>
      <c r="E103" s="356"/>
      <c r="F103" s="356"/>
      <c r="G103" s="356"/>
      <c r="H103" s="356"/>
      <c r="I103" s="356"/>
      <c r="J103" s="356"/>
      <c r="K103" s="356"/>
      <c r="L103" s="356"/>
      <c r="M103" s="356"/>
      <c r="N103" s="476"/>
      <c r="O103" s="128"/>
      <c r="P103" s="125"/>
      <c r="Q103" s="132" t="str">
        <f>IF(Roster!$K$1=0,"",Roster!$K$1)</f>
        <v>ST</v>
      </c>
      <c r="R103" s="133"/>
      <c r="S103" s="480" t="str">
        <f>IF(Roster!$J$24="Italiano","REGOLE SPECIALI",(IF(Roster!$J$24="Español","REGLA ESPECIAL","SPECIAL RULE")))</f>
        <v>SPECIAL RULE</v>
      </c>
      <c r="T103" s="481"/>
      <c r="U103" s="481"/>
      <c r="V103" s="481"/>
      <c r="W103" s="481"/>
      <c r="X103" s="481"/>
      <c r="Y103" s="481"/>
      <c r="Z103" s="481"/>
      <c r="AA103" s="481"/>
      <c r="AB103" s="481"/>
      <c r="AC103" s="482"/>
      <c r="AD103" s="128"/>
      <c r="AE103" s="125"/>
      <c r="AF103" s="132" t="str">
        <f>IF(Roster!$K$1=0,"",Roster!$K$1)</f>
        <v>ST</v>
      </c>
      <c r="AG103" s="133"/>
      <c r="AH103" s="480" t="str">
        <f>IF(Roster!$J$24="Italiano","REGOLE SPECIALI",(IF(Roster!$J$24="Español","REGLA ESPECIAL","SPECIAL RULE")))</f>
        <v>SPECIAL RULE</v>
      </c>
      <c r="AI103" s="481"/>
      <c r="AJ103" s="481"/>
      <c r="AK103" s="481"/>
      <c r="AL103" s="481"/>
      <c r="AM103" s="481"/>
      <c r="AN103" s="481"/>
      <c r="AO103" s="481"/>
      <c r="AP103" s="481"/>
      <c r="AQ103" s="481"/>
      <c r="AR103" s="482"/>
      <c r="AS103" s="128"/>
      <c r="AT103" s="125"/>
      <c r="AU103" s="132" t="str">
        <f>IF(Roster!$K$1=0,"",Roster!$K$1)</f>
        <v>ST</v>
      </c>
      <c r="AV103" s="133"/>
      <c r="AW103" s="480" t="str">
        <f>IF(Roster!$J$24="Italiano","REGOLE SPECIALI",(IF(Roster!$J$24="Español","REGLA ESPECIAL","SPECIAL RULE")))</f>
        <v>SPECIAL RULE</v>
      </c>
      <c r="AX103" s="481"/>
      <c r="AY103" s="481"/>
      <c r="AZ103" s="481"/>
      <c r="BA103" s="481"/>
      <c r="BB103" s="481"/>
      <c r="BC103" s="481"/>
      <c r="BD103" s="481"/>
      <c r="BE103" s="481"/>
      <c r="BF103" s="481"/>
      <c r="BG103" s="482"/>
      <c r="BH103" s="210"/>
    </row>
    <row r="104" spans="1:60" ht="37.5" customHeight="1">
      <c r="A104" s="125"/>
      <c r="B104" s="135" t="str">
        <f>IF(Roster!$K$17=0,"",Roster!$K$17)</f>
        <v/>
      </c>
      <c r="C104" s="133"/>
      <c r="D104" s="475"/>
      <c r="E104" s="356"/>
      <c r="F104" s="356"/>
      <c r="G104" s="356"/>
      <c r="H104" s="356"/>
      <c r="I104" s="356"/>
      <c r="J104" s="356"/>
      <c r="K104" s="356"/>
      <c r="L104" s="356"/>
      <c r="M104" s="356"/>
      <c r="N104" s="476"/>
      <c r="O104" s="128"/>
      <c r="P104" s="125"/>
      <c r="Q104" s="135" t="str">
        <f>IF(Roster!$K$18=0,"",Roster!$K$18)</f>
        <v/>
      </c>
      <c r="R104" s="133"/>
      <c r="S104" s="498" t="str">
        <f>IF(Roster!$AA$18=0,"",Roster!$AA$18)</f>
        <v/>
      </c>
      <c r="T104" s="447"/>
      <c r="U104" s="447"/>
      <c r="V104" s="447"/>
      <c r="W104" s="447"/>
      <c r="X104" s="447"/>
      <c r="Y104" s="447"/>
      <c r="Z104" s="447"/>
      <c r="AA104" s="447"/>
      <c r="AB104" s="447"/>
      <c r="AC104" s="484"/>
      <c r="AD104" s="128"/>
      <c r="AE104" s="125"/>
      <c r="AF104" s="135" t="str">
        <f>IF(Roster!$K$19=0,"",Roster!$K$19)</f>
        <v/>
      </c>
      <c r="AG104" s="133"/>
      <c r="AH104" s="498" t="str">
        <f>IF(Roster!$AA$19=0,"",Roster!$AA$19)</f>
        <v/>
      </c>
      <c r="AI104" s="447"/>
      <c r="AJ104" s="447"/>
      <c r="AK104" s="447"/>
      <c r="AL104" s="447"/>
      <c r="AM104" s="447"/>
      <c r="AN104" s="447"/>
      <c r="AO104" s="447"/>
      <c r="AP104" s="447"/>
      <c r="AQ104" s="447"/>
      <c r="AR104" s="484"/>
      <c r="AS104" s="128"/>
      <c r="AT104" s="125"/>
      <c r="AU104" s="135" t="str">
        <f>IF(Roster!$K$20=0,"",Roster!$K$20)</f>
        <v/>
      </c>
      <c r="AV104" s="133"/>
      <c r="AW104" s="498" t="str">
        <f>IF(Roster!$AA$20=0,"",Roster!$AA$20)</f>
        <v/>
      </c>
      <c r="AX104" s="447"/>
      <c r="AY104" s="447"/>
      <c r="AZ104" s="447"/>
      <c r="BA104" s="447"/>
      <c r="BB104" s="447"/>
      <c r="BC104" s="447"/>
      <c r="BD104" s="447"/>
      <c r="BE104" s="447"/>
      <c r="BF104" s="447"/>
      <c r="BG104" s="484"/>
      <c r="BH104" s="210"/>
    </row>
    <row r="105" spans="1:60" ht="11.25" customHeight="1">
      <c r="A105" s="125"/>
      <c r="B105" s="132" t="str">
        <f>IF(Roster!$L$1=0,"",Roster!$L$1)</f>
        <v>AG</v>
      </c>
      <c r="C105" s="133"/>
      <c r="D105" s="475"/>
      <c r="E105" s="356"/>
      <c r="F105" s="356"/>
      <c r="G105" s="356"/>
      <c r="H105" s="356"/>
      <c r="I105" s="356"/>
      <c r="J105" s="356"/>
      <c r="K105" s="356"/>
      <c r="L105" s="356"/>
      <c r="M105" s="356"/>
      <c r="N105" s="476"/>
      <c r="O105" s="128"/>
      <c r="P105" s="125"/>
      <c r="Q105" s="132" t="str">
        <f>IF(Roster!$L$1=0,"",Roster!$L$1)</f>
        <v>AG</v>
      </c>
      <c r="R105" s="133"/>
      <c r="S105" s="475"/>
      <c r="T105" s="356"/>
      <c r="U105" s="356"/>
      <c r="V105" s="356"/>
      <c r="W105" s="356"/>
      <c r="X105" s="356"/>
      <c r="Y105" s="356"/>
      <c r="Z105" s="356"/>
      <c r="AA105" s="356"/>
      <c r="AB105" s="356"/>
      <c r="AC105" s="476"/>
      <c r="AD105" s="128"/>
      <c r="AE105" s="125"/>
      <c r="AF105" s="132" t="str">
        <f>IF(Roster!$L$1=0,"",Roster!$L$1)</f>
        <v>AG</v>
      </c>
      <c r="AG105" s="133"/>
      <c r="AH105" s="475"/>
      <c r="AI105" s="356"/>
      <c r="AJ105" s="356"/>
      <c r="AK105" s="356"/>
      <c r="AL105" s="356"/>
      <c r="AM105" s="356"/>
      <c r="AN105" s="356"/>
      <c r="AO105" s="356"/>
      <c r="AP105" s="356"/>
      <c r="AQ105" s="356"/>
      <c r="AR105" s="476"/>
      <c r="AS105" s="128"/>
      <c r="AT105" s="125"/>
      <c r="AU105" s="132" t="str">
        <f>IF(Roster!$L$1=0,"",Roster!$L$1)</f>
        <v>AG</v>
      </c>
      <c r="AV105" s="133"/>
      <c r="AW105" s="475"/>
      <c r="AX105" s="356"/>
      <c r="AY105" s="356"/>
      <c r="AZ105" s="356"/>
      <c r="BA105" s="356"/>
      <c r="BB105" s="356"/>
      <c r="BC105" s="356"/>
      <c r="BD105" s="356"/>
      <c r="BE105" s="356"/>
      <c r="BF105" s="356"/>
      <c r="BG105" s="476"/>
      <c r="BH105" s="210"/>
    </row>
    <row r="106" spans="1:60" ht="37.5" customHeight="1">
      <c r="A106" s="125"/>
      <c r="B106" s="135" t="str">
        <f>IF(Roster!$L$17=0&amp;"+","",Roster!$L$17)</f>
        <v/>
      </c>
      <c r="C106" s="133"/>
      <c r="D106" s="475"/>
      <c r="E106" s="356"/>
      <c r="F106" s="356"/>
      <c r="G106" s="356"/>
      <c r="H106" s="356"/>
      <c r="I106" s="356"/>
      <c r="J106" s="356"/>
      <c r="K106" s="356"/>
      <c r="L106" s="356"/>
      <c r="M106" s="356"/>
      <c r="N106" s="476"/>
      <c r="O106" s="128"/>
      <c r="P106" s="125"/>
      <c r="Q106" s="135" t="str">
        <f>IF(Roster!$L$18=0,"",Roster!$L$18)</f>
        <v/>
      </c>
      <c r="R106" s="133"/>
      <c r="S106" s="475"/>
      <c r="T106" s="356"/>
      <c r="U106" s="356"/>
      <c r="V106" s="356"/>
      <c r="W106" s="356"/>
      <c r="X106" s="356"/>
      <c r="Y106" s="356"/>
      <c r="Z106" s="356"/>
      <c r="AA106" s="356"/>
      <c r="AB106" s="356"/>
      <c r="AC106" s="476"/>
      <c r="AD106" s="128"/>
      <c r="AE106" s="125"/>
      <c r="AF106" s="135" t="str">
        <f>IF(Roster!$L$19=0,"",Roster!$L$19)</f>
        <v/>
      </c>
      <c r="AG106" s="133"/>
      <c r="AH106" s="475"/>
      <c r="AI106" s="356"/>
      <c r="AJ106" s="356"/>
      <c r="AK106" s="356"/>
      <c r="AL106" s="356"/>
      <c r="AM106" s="356"/>
      <c r="AN106" s="356"/>
      <c r="AO106" s="356"/>
      <c r="AP106" s="356"/>
      <c r="AQ106" s="356"/>
      <c r="AR106" s="476"/>
      <c r="AS106" s="128"/>
      <c r="AT106" s="125"/>
      <c r="AU106" s="135" t="str">
        <f>IF(Roster!$L$20=0,"",Roster!$L$20)</f>
        <v/>
      </c>
      <c r="AV106" s="133"/>
      <c r="AW106" s="475"/>
      <c r="AX106" s="356"/>
      <c r="AY106" s="356"/>
      <c r="AZ106" s="356"/>
      <c r="BA106" s="356"/>
      <c r="BB106" s="356"/>
      <c r="BC106" s="356"/>
      <c r="BD106" s="356"/>
      <c r="BE106" s="356"/>
      <c r="BF106" s="356"/>
      <c r="BG106" s="476"/>
      <c r="BH106" s="210"/>
    </row>
    <row r="107" spans="1:60" ht="11.25" customHeight="1">
      <c r="A107" s="125"/>
      <c r="B107" s="132" t="str">
        <f>IF(Roster!$M$1=0,"",Roster!$M$1)</f>
        <v>PA</v>
      </c>
      <c r="C107" s="133"/>
      <c r="D107" s="475"/>
      <c r="E107" s="356"/>
      <c r="F107" s="356"/>
      <c r="G107" s="356"/>
      <c r="H107" s="356"/>
      <c r="I107" s="356"/>
      <c r="J107" s="356"/>
      <c r="K107" s="356"/>
      <c r="L107" s="356"/>
      <c r="M107" s="356"/>
      <c r="N107" s="476"/>
      <c r="O107" s="137"/>
      <c r="P107" s="125"/>
      <c r="Q107" s="132" t="str">
        <f>IF(Roster!$M$1=0,"",Roster!$M$1)</f>
        <v>PA</v>
      </c>
      <c r="R107" s="133"/>
      <c r="S107" s="475"/>
      <c r="T107" s="356"/>
      <c r="U107" s="356"/>
      <c r="V107" s="356"/>
      <c r="W107" s="356"/>
      <c r="X107" s="356"/>
      <c r="Y107" s="356"/>
      <c r="Z107" s="356"/>
      <c r="AA107" s="356"/>
      <c r="AB107" s="356"/>
      <c r="AC107" s="476"/>
      <c r="AD107" s="137"/>
      <c r="AE107" s="125"/>
      <c r="AF107" s="132" t="str">
        <f>IF(Roster!$M$1=0,"",Roster!$M$1)</f>
        <v>PA</v>
      </c>
      <c r="AG107" s="133"/>
      <c r="AH107" s="475"/>
      <c r="AI107" s="356"/>
      <c r="AJ107" s="356"/>
      <c r="AK107" s="356"/>
      <c r="AL107" s="356"/>
      <c r="AM107" s="356"/>
      <c r="AN107" s="356"/>
      <c r="AO107" s="356"/>
      <c r="AP107" s="356"/>
      <c r="AQ107" s="356"/>
      <c r="AR107" s="476"/>
      <c r="AS107" s="137"/>
      <c r="AT107" s="125"/>
      <c r="AU107" s="132" t="str">
        <f>IF(Roster!$M$1=0,"",Roster!$M$1)</f>
        <v>PA</v>
      </c>
      <c r="AV107" s="133"/>
      <c r="AW107" s="475"/>
      <c r="AX107" s="356"/>
      <c r="AY107" s="356"/>
      <c r="AZ107" s="356"/>
      <c r="BA107" s="356"/>
      <c r="BB107" s="356"/>
      <c r="BC107" s="356"/>
      <c r="BD107" s="356"/>
      <c r="BE107" s="356"/>
      <c r="BF107" s="356"/>
      <c r="BG107" s="476"/>
      <c r="BH107" s="210"/>
    </row>
    <row r="108" spans="1:60" ht="6" customHeight="1">
      <c r="A108" s="125"/>
      <c r="B108" s="469" t="str">
        <f>IF(Roster!$M$17=0&amp;"+","",Roster!$M$17)</f>
        <v/>
      </c>
      <c r="C108" s="133"/>
      <c r="D108" s="477"/>
      <c r="E108" s="478"/>
      <c r="F108" s="478"/>
      <c r="G108" s="478"/>
      <c r="H108" s="478"/>
      <c r="I108" s="478"/>
      <c r="J108" s="478"/>
      <c r="K108" s="478"/>
      <c r="L108" s="478"/>
      <c r="M108" s="478"/>
      <c r="N108" s="479"/>
      <c r="O108" s="139"/>
      <c r="P108" s="125"/>
      <c r="Q108" s="469" t="str">
        <f>IF(Roster!$M$18=0,"",Roster!$M$18)</f>
        <v/>
      </c>
      <c r="R108" s="133"/>
      <c r="S108" s="475"/>
      <c r="T108" s="356"/>
      <c r="U108" s="356"/>
      <c r="V108" s="356"/>
      <c r="W108" s="356"/>
      <c r="X108" s="356"/>
      <c r="Y108" s="356"/>
      <c r="Z108" s="356"/>
      <c r="AA108" s="356"/>
      <c r="AB108" s="356"/>
      <c r="AC108" s="476"/>
      <c r="AD108" s="139"/>
      <c r="AE108" s="125"/>
      <c r="AF108" s="469" t="str">
        <f>IF(Roster!$M$19=0,"",Roster!$M$19)</f>
        <v/>
      </c>
      <c r="AG108" s="133"/>
      <c r="AH108" s="475"/>
      <c r="AI108" s="356"/>
      <c r="AJ108" s="356"/>
      <c r="AK108" s="356"/>
      <c r="AL108" s="356"/>
      <c r="AM108" s="356"/>
      <c r="AN108" s="356"/>
      <c r="AO108" s="356"/>
      <c r="AP108" s="356"/>
      <c r="AQ108" s="356"/>
      <c r="AR108" s="476"/>
      <c r="AS108" s="139"/>
      <c r="AT108" s="125"/>
      <c r="AU108" s="469" t="str">
        <f>IF(Roster!$M$20=0,"",Roster!$M$20)</f>
        <v/>
      </c>
      <c r="AV108" s="133"/>
      <c r="AW108" s="475"/>
      <c r="AX108" s="356"/>
      <c r="AY108" s="356"/>
      <c r="AZ108" s="356"/>
      <c r="BA108" s="356"/>
      <c r="BB108" s="356"/>
      <c r="BC108" s="356"/>
      <c r="BD108" s="356"/>
      <c r="BE108" s="356"/>
      <c r="BF108" s="356"/>
      <c r="BG108" s="476"/>
      <c r="BH108" s="210"/>
    </row>
    <row r="109" spans="1:60" ht="4.5" customHeight="1">
      <c r="A109" s="125"/>
      <c r="B109" s="470"/>
      <c r="C109" s="131"/>
      <c r="D109" s="125"/>
      <c r="E109" s="138"/>
      <c r="F109" s="125"/>
      <c r="G109" s="138"/>
      <c r="H109" s="125"/>
      <c r="I109" s="138"/>
      <c r="J109" s="125"/>
      <c r="K109" s="138"/>
      <c r="L109" s="125"/>
      <c r="M109" s="138"/>
      <c r="N109" s="125"/>
      <c r="O109" s="139"/>
      <c r="P109" s="125"/>
      <c r="Q109" s="470"/>
      <c r="R109" s="134"/>
      <c r="S109" s="475"/>
      <c r="T109" s="356"/>
      <c r="U109" s="356"/>
      <c r="V109" s="356"/>
      <c r="W109" s="356"/>
      <c r="X109" s="356"/>
      <c r="Y109" s="356"/>
      <c r="Z109" s="356"/>
      <c r="AA109" s="356"/>
      <c r="AB109" s="356"/>
      <c r="AC109" s="476"/>
      <c r="AD109" s="139"/>
      <c r="AE109" s="125"/>
      <c r="AF109" s="470"/>
      <c r="AG109" s="134"/>
      <c r="AH109" s="475"/>
      <c r="AI109" s="356"/>
      <c r="AJ109" s="356"/>
      <c r="AK109" s="356"/>
      <c r="AL109" s="356"/>
      <c r="AM109" s="356"/>
      <c r="AN109" s="356"/>
      <c r="AO109" s="356"/>
      <c r="AP109" s="356"/>
      <c r="AQ109" s="356"/>
      <c r="AR109" s="476"/>
      <c r="AS109" s="139"/>
      <c r="AT109" s="125"/>
      <c r="AU109" s="470"/>
      <c r="AV109" s="134"/>
      <c r="AW109" s="475"/>
      <c r="AX109" s="356"/>
      <c r="AY109" s="356"/>
      <c r="AZ109" s="356"/>
      <c r="BA109" s="356"/>
      <c r="BB109" s="356"/>
      <c r="BC109" s="356"/>
      <c r="BD109" s="356"/>
      <c r="BE109" s="356"/>
      <c r="BF109" s="356"/>
      <c r="BG109" s="476"/>
      <c r="BH109" s="210"/>
    </row>
    <row r="110" spans="1:60" ht="11.25" customHeight="1">
      <c r="A110" s="125"/>
      <c r="B110" s="470"/>
      <c r="C110" s="131"/>
      <c r="D110" s="480" t="str">
        <f>IF(Roster!$J$24="Italiano","ABILITÀ &amp; TRATTI",(IF(Roster!$J$24="Español","HABILIDADES Y RASGOS","SKILLS &amp; TRAITS")))</f>
        <v>SKILLS &amp; TRAITS</v>
      </c>
      <c r="E110" s="481"/>
      <c r="F110" s="481"/>
      <c r="G110" s="481"/>
      <c r="H110" s="481"/>
      <c r="I110" s="481"/>
      <c r="J110" s="481"/>
      <c r="K110" s="481"/>
      <c r="L110" s="481"/>
      <c r="M110" s="481"/>
      <c r="N110" s="482"/>
      <c r="O110" s="139"/>
      <c r="P110" s="125"/>
      <c r="Q110" s="470"/>
      <c r="R110" s="134"/>
      <c r="S110" s="475"/>
      <c r="T110" s="356"/>
      <c r="U110" s="356"/>
      <c r="V110" s="356"/>
      <c r="W110" s="356"/>
      <c r="X110" s="356"/>
      <c r="Y110" s="356"/>
      <c r="Z110" s="356"/>
      <c r="AA110" s="356"/>
      <c r="AB110" s="356"/>
      <c r="AC110" s="476"/>
      <c r="AD110" s="139"/>
      <c r="AE110" s="125"/>
      <c r="AF110" s="470"/>
      <c r="AG110" s="134"/>
      <c r="AH110" s="475"/>
      <c r="AI110" s="356"/>
      <c r="AJ110" s="356"/>
      <c r="AK110" s="356"/>
      <c r="AL110" s="356"/>
      <c r="AM110" s="356"/>
      <c r="AN110" s="356"/>
      <c r="AO110" s="356"/>
      <c r="AP110" s="356"/>
      <c r="AQ110" s="356"/>
      <c r="AR110" s="476"/>
      <c r="AS110" s="139"/>
      <c r="AT110" s="125"/>
      <c r="AU110" s="470"/>
      <c r="AV110" s="134"/>
      <c r="AW110" s="475"/>
      <c r="AX110" s="356"/>
      <c r="AY110" s="356"/>
      <c r="AZ110" s="356"/>
      <c r="BA110" s="356"/>
      <c r="BB110" s="356"/>
      <c r="BC110" s="356"/>
      <c r="BD110" s="356"/>
      <c r="BE110" s="356"/>
      <c r="BF110" s="356"/>
      <c r="BG110" s="476"/>
      <c r="BH110" s="210"/>
    </row>
    <row r="111" spans="1:60" ht="15" customHeight="1">
      <c r="A111" s="125"/>
      <c r="B111" s="470"/>
      <c r="C111" s="134"/>
      <c r="D111" s="483" t="str">
        <f>IF(Roster!$O$17=0,"",Roster!$O$17&amp;Roster!BF17)</f>
        <v/>
      </c>
      <c r="E111" s="447"/>
      <c r="F111" s="447"/>
      <c r="G111" s="447"/>
      <c r="H111" s="447"/>
      <c r="I111" s="447"/>
      <c r="J111" s="447"/>
      <c r="K111" s="447"/>
      <c r="L111" s="447"/>
      <c r="M111" s="447"/>
      <c r="N111" s="484"/>
      <c r="O111" s="139"/>
      <c r="P111" s="125"/>
      <c r="Q111" s="470"/>
      <c r="R111" s="133"/>
      <c r="S111" s="477"/>
      <c r="T111" s="478"/>
      <c r="U111" s="478"/>
      <c r="V111" s="478"/>
      <c r="W111" s="478"/>
      <c r="X111" s="478"/>
      <c r="Y111" s="478"/>
      <c r="Z111" s="478"/>
      <c r="AA111" s="478"/>
      <c r="AB111" s="478"/>
      <c r="AC111" s="479"/>
      <c r="AD111" s="139"/>
      <c r="AE111" s="125"/>
      <c r="AF111" s="470"/>
      <c r="AG111" s="133"/>
      <c r="AH111" s="477"/>
      <c r="AI111" s="478"/>
      <c r="AJ111" s="478"/>
      <c r="AK111" s="478"/>
      <c r="AL111" s="478"/>
      <c r="AM111" s="478"/>
      <c r="AN111" s="478"/>
      <c r="AO111" s="478"/>
      <c r="AP111" s="478"/>
      <c r="AQ111" s="478"/>
      <c r="AR111" s="479"/>
      <c r="AS111" s="139"/>
      <c r="AT111" s="125"/>
      <c r="AU111" s="470"/>
      <c r="AV111" s="133"/>
      <c r="AW111" s="477"/>
      <c r="AX111" s="478"/>
      <c r="AY111" s="478"/>
      <c r="AZ111" s="478"/>
      <c r="BA111" s="478"/>
      <c r="BB111" s="478"/>
      <c r="BC111" s="478"/>
      <c r="BD111" s="478"/>
      <c r="BE111" s="478"/>
      <c r="BF111" s="478"/>
      <c r="BG111" s="479"/>
      <c r="BH111" s="210"/>
    </row>
    <row r="112" spans="1:60" ht="4.5" customHeight="1">
      <c r="A112" s="125"/>
      <c r="B112" s="471"/>
      <c r="C112" s="134"/>
      <c r="D112" s="475"/>
      <c r="E112" s="356"/>
      <c r="F112" s="356"/>
      <c r="G112" s="356"/>
      <c r="H112" s="356"/>
      <c r="I112" s="356"/>
      <c r="J112" s="356"/>
      <c r="K112" s="356"/>
      <c r="L112" s="356"/>
      <c r="M112" s="356"/>
      <c r="N112" s="476"/>
      <c r="O112" s="139"/>
      <c r="P112" s="125"/>
      <c r="Q112" s="471"/>
      <c r="R112" s="134"/>
      <c r="S112" s="14"/>
      <c r="T112" s="14"/>
      <c r="U112" s="14"/>
      <c r="V112" s="14"/>
      <c r="W112" s="14"/>
      <c r="X112" s="14"/>
      <c r="Y112" s="14"/>
      <c r="Z112" s="14"/>
      <c r="AA112" s="14"/>
      <c r="AB112" s="14"/>
      <c r="AC112" s="14"/>
      <c r="AD112" s="139"/>
      <c r="AE112" s="125"/>
      <c r="AF112" s="471"/>
      <c r="AG112" s="134"/>
      <c r="AH112" s="14"/>
      <c r="AI112" s="14"/>
      <c r="AJ112" s="14"/>
      <c r="AK112" s="14"/>
      <c r="AL112" s="14"/>
      <c r="AM112" s="14"/>
      <c r="AN112" s="14"/>
      <c r="AO112" s="14"/>
      <c r="AP112" s="14"/>
      <c r="AQ112" s="14"/>
      <c r="AR112" s="14"/>
      <c r="AS112" s="139"/>
      <c r="AT112" s="125"/>
      <c r="AU112" s="471"/>
      <c r="AV112" s="134"/>
      <c r="AW112" s="14"/>
      <c r="AX112" s="14"/>
      <c r="AY112" s="14"/>
      <c r="AZ112" s="14"/>
      <c r="BA112" s="14"/>
      <c r="BB112" s="14"/>
      <c r="BC112" s="14"/>
      <c r="BD112" s="14"/>
      <c r="BE112" s="14"/>
      <c r="BF112" s="14"/>
      <c r="BG112" s="14"/>
      <c r="BH112" s="210"/>
    </row>
    <row r="113" spans="1:60" ht="11.25" customHeight="1">
      <c r="A113" s="125"/>
      <c r="B113" s="132" t="str">
        <f>IF(Roster!$N$1=0,"",Roster!$N$1)</f>
        <v>AV</v>
      </c>
      <c r="C113" s="133"/>
      <c r="D113" s="475"/>
      <c r="E113" s="356"/>
      <c r="F113" s="356"/>
      <c r="G113" s="356"/>
      <c r="H113" s="356"/>
      <c r="I113" s="356"/>
      <c r="J113" s="356"/>
      <c r="K113" s="356"/>
      <c r="L113" s="356"/>
      <c r="M113" s="356"/>
      <c r="N113" s="476"/>
      <c r="O113" s="128"/>
      <c r="P113" s="125"/>
      <c r="Q113" s="132" t="str">
        <f>IF(Roster!$N$1=0,"",Roster!$N$1)</f>
        <v>AV</v>
      </c>
      <c r="R113" s="134"/>
      <c r="S113" s="480" t="str">
        <f>IF(Roster!$J$24="Italiano","ABILITÀ &amp; TRATTI",(IF(Roster!$J$24="Español","HABILIDADES Y RASGOS","SKILLS &amp; TRAITS")))</f>
        <v>SKILLS &amp; TRAITS</v>
      </c>
      <c r="T113" s="481"/>
      <c r="U113" s="481"/>
      <c r="V113" s="481"/>
      <c r="W113" s="481"/>
      <c r="X113" s="481"/>
      <c r="Y113" s="481"/>
      <c r="Z113" s="481"/>
      <c r="AA113" s="481"/>
      <c r="AB113" s="481"/>
      <c r="AC113" s="482"/>
      <c r="AD113" s="128"/>
      <c r="AE113" s="125"/>
      <c r="AF113" s="132" t="str">
        <f>IF(Roster!$N$1=0,"",Roster!$N$1)</f>
        <v>AV</v>
      </c>
      <c r="AG113" s="134"/>
      <c r="AH113" s="480" t="str">
        <f>IF(Roster!$J$24="Italiano","ABILITÀ &amp; TRATTI",(IF(Roster!$J$24="Español","HABILIDADES Y RASGOS","SKILLS &amp; TRAITS")))</f>
        <v>SKILLS &amp; TRAITS</v>
      </c>
      <c r="AI113" s="481"/>
      <c r="AJ113" s="481"/>
      <c r="AK113" s="481"/>
      <c r="AL113" s="481"/>
      <c r="AM113" s="481"/>
      <c r="AN113" s="481"/>
      <c r="AO113" s="481"/>
      <c r="AP113" s="481"/>
      <c r="AQ113" s="481"/>
      <c r="AR113" s="482"/>
      <c r="AS113" s="128"/>
      <c r="AT113" s="125"/>
      <c r="AU113" s="132" t="str">
        <f>IF(Roster!$N$1=0,"",Roster!$N$1)</f>
        <v>AV</v>
      </c>
      <c r="AV113" s="134"/>
      <c r="AW113" s="480" t="str">
        <f>IF(Roster!$J$24="Italiano","ABILITÀ &amp; TRATTI",(IF(Roster!$J$24="Español","HABILIDADES Y RASGOS","SKILLS &amp; TRAITS")))</f>
        <v>SKILLS &amp; TRAITS</v>
      </c>
      <c r="AX113" s="481"/>
      <c r="AY113" s="481"/>
      <c r="AZ113" s="481"/>
      <c r="BA113" s="481"/>
      <c r="BB113" s="481"/>
      <c r="BC113" s="481"/>
      <c r="BD113" s="481"/>
      <c r="BE113" s="481"/>
      <c r="BF113" s="481"/>
      <c r="BG113" s="482"/>
      <c r="BH113" s="210"/>
    </row>
    <row r="114" spans="1:60" ht="15" customHeight="1">
      <c r="A114" s="125"/>
      <c r="B114" s="469" t="str">
        <f>IF(Roster!$N$17=0&amp;"+","",Roster!$N$17)</f>
        <v/>
      </c>
      <c r="C114" s="134"/>
      <c r="D114" s="475"/>
      <c r="E114" s="356"/>
      <c r="F114" s="356"/>
      <c r="G114" s="356"/>
      <c r="H114" s="356"/>
      <c r="I114" s="356"/>
      <c r="J114" s="356"/>
      <c r="K114" s="356"/>
      <c r="L114" s="356"/>
      <c r="M114" s="356"/>
      <c r="N114" s="476"/>
      <c r="O114" s="140"/>
      <c r="P114" s="125"/>
      <c r="Q114" s="469" t="str">
        <f>IF(Roster!$N$18=0,"",Roster!$N$18)</f>
        <v/>
      </c>
      <c r="R114" s="133"/>
      <c r="S114" s="495" t="str">
        <f>IF(Roster!$O$18=0,"",Roster!$O$18)</f>
        <v/>
      </c>
      <c r="T114" s="447"/>
      <c r="U114" s="447"/>
      <c r="V114" s="447"/>
      <c r="W114" s="447"/>
      <c r="X114" s="447"/>
      <c r="Y114" s="447"/>
      <c r="Z114" s="447"/>
      <c r="AA114" s="447"/>
      <c r="AB114" s="447"/>
      <c r="AC114" s="484"/>
      <c r="AD114" s="140"/>
      <c r="AE114" s="125"/>
      <c r="AF114" s="469" t="str">
        <f>IF(Roster!$N$19=0,"",Roster!$N$19)</f>
        <v/>
      </c>
      <c r="AG114" s="133"/>
      <c r="AH114" s="495" t="str">
        <f>IF(Roster!$O$19=0,"",Roster!$O$19)</f>
        <v/>
      </c>
      <c r="AI114" s="447"/>
      <c r="AJ114" s="447"/>
      <c r="AK114" s="447"/>
      <c r="AL114" s="447"/>
      <c r="AM114" s="447"/>
      <c r="AN114" s="447"/>
      <c r="AO114" s="447"/>
      <c r="AP114" s="447"/>
      <c r="AQ114" s="447"/>
      <c r="AR114" s="484"/>
      <c r="AS114" s="140"/>
      <c r="AT114" s="125"/>
      <c r="AU114" s="469" t="str">
        <f>IF(Roster!$N$20=0,"",Roster!$N$20)</f>
        <v/>
      </c>
      <c r="AV114" s="133"/>
      <c r="AW114" s="495" t="str">
        <f>IF(Roster!$O$20=0,"",Roster!$O$20)</f>
        <v/>
      </c>
      <c r="AX114" s="447"/>
      <c r="AY114" s="447"/>
      <c r="AZ114" s="447"/>
      <c r="BA114" s="447"/>
      <c r="BB114" s="447"/>
      <c r="BC114" s="447"/>
      <c r="BD114" s="447"/>
      <c r="BE114" s="447"/>
      <c r="BF114" s="447"/>
      <c r="BG114" s="484"/>
      <c r="BH114" s="210"/>
    </row>
    <row r="115" spans="1:60" ht="4.5" customHeight="1">
      <c r="A115" s="125"/>
      <c r="B115" s="470"/>
      <c r="C115" s="134"/>
      <c r="D115" s="475"/>
      <c r="E115" s="356"/>
      <c r="F115" s="356"/>
      <c r="G115" s="356"/>
      <c r="H115" s="356"/>
      <c r="I115" s="356"/>
      <c r="J115" s="356"/>
      <c r="K115" s="356"/>
      <c r="L115" s="356"/>
      <c r="M115" s="356"/>
      <c r="N115" s="476"/>
      <c r="O115" s="140"/>
      <c r="P115" s="125"/>
      <c r="Q115" s="470"/>
      <c r="R115" s="146"/>
      <c r="S115" s="475"/>
      <c r="T115" s="356"/>
      <c r="U115" s="356"/>
      <c r="V115" s="356"/>
      <c r="W115" s="356"/>
      <c r="X115" s="356"/>
      <c r="Y115" s="356"/>
      <c r="Z115" s="356"/>
      <c r="AA115" s="356"/>
      <c r="AB115" s="356"/>
      <c r="AC115" s="476"/>
      <c r="AD115" s="140"/>
      <c r="AE115" s="125"/>
      <c r="AF115" s="470"/>
      <c r="AG115" s="146"/>
      <c r="AH115" s="475"/>
      <c r="AI115" s="356"/>
      <c r="AJ115" s="356"/>
      <c r="AK115" s="356"/>
      <c r="AL115" s="356"/>
      <c r="AM115" s="356"/>
      <c r="AN115" s="356"/>
      <c r="AO115" s="356"/>
      <c r="AP115" s="356"/>
      <c r="AQ115" s="356"/>
      <c r="AR115" s="476"/>
      <c r="AS115" s="140"/>
      <c r="AT115" s="125"/>
      <c r="AU115" s="470"/>
      <c r="AV115" s="146"/>
      <c r="AW115" s="475"/>
      <c r="AX115" s="356"/>
      <c r="AY115" s="356"/>
      <c r="AZ115" s="356"/>
      <c r="BA115" s="356"/>
      <c r="BB115" s="356"/>
      <c r="BC115" s="356"/>
      <c r="BD115" s="356"/>
      <c r="BE115" s="356"/>
      <c r="BF115" s="356"/>
      <c r="BG115" s="476"/>
      <c r="BH115" s="210"/>
    </row>
    <row r="116" spans="1:60" ht="11.25" customHeight="1">
      <c r="A116" s="125"/>
      <c r="B116" s="470"/>
      <c r="C116" s="134"/>
      <c r="D116" s="475"/>
      <c r="E116" s="356"/>
      <c r="F116" s="356"/>
      <c r="G116" s="356"/>
      <c r="H116" s="356"/>
      <c r="I116" s="356"/>
      <c r="J116" s="356"/>
      <c r="K116" s="356"/>
      <c r="L116" s="356"/>
      <c r="M116" s="356"/>
      <c r="N116" s="476"/>
      <c r="O116" s="140"/>
      <c r="P116" s="125"/>
      <c r="Q116" s="470"/>
      <c r="R116" s="125"/>
      <c r="S116" s="475"/>
      <c r="T116" s="356"/>
      <c r="U116" s="356"/>
      <c r="V116" s="356"/>
      <c r="W116" s="356"/>
      <c r="X116" s="356"/>
      <c r="Y116" s="356"/>
      <c r="Z116" s="356"/>
      <c r="AA116" s="356"/>
      <c r="AB116" s="356"/>
      <c r="AC116" s="476"/>
      <c r="AD116" s="140"/>
      <c r="AE116" s="125"/>
      <c r="AF116" s="470"/>
      <c r="AG116" s="125"/>
      <c r="AH116" s="475"/>
      <c r="AI116" s="356"/>
      <c r="AJ116" s="356"/>
      <c r="AK116" s="356"/>
      <c r="AL116" s="356"/>
      <c r="AM116" s="356"/>
      <c r="AN116" s="356"/>
      <c r="AO116" s="356"/>
      <c r="AP116" s="356"/>
      <c r="AQ116" s="356"/>
      <c r="AR116" s="476"/>
      <c r="AS116" s="140"/>
      <c r="AT116" s="125"/>
      <c r="AU116" s="470"/>
      <c r="AV116" s="125"/>
      <c r="AW116" s="475"/>
      <c r="AX116" s="356"/>
      <c r="AY116" s="356"/>
      <c r="AZ116" s="356"/>
      <c r="BA116" s="356"/>
      <c r="BB116" s="356"/>
      <c r="BC116" s="356"/>
      <c r="BD116" s="356"/>
      <c r="BE116" s="356"/>
      <c r="BF116" s="356"/>
      <c r="BG116" s="476"/>
      <c r="BH116" s="210"/>
    </row>
    <row r="117" spans="1:60" ht="6.75" customHeight="1">
      <c r="A117" s="125"/>
      <c r="B117" s="471"/>
      <c r="C117" s="134"/>
      <c r="D117" s="475"/>
      <c r="E117" s="356"/>
      <c r="F117" s="356"/>
      <c r="G117" s="356"/>
      <c r="H117" s="356"/>
      <c r="I117" s="356"/>
      <c r="J117" s="356"/>
      <c r="K117" s="356"/>
      <c r="L117" s="356"/>
      <c r="M117" s="356"/>
      <c r="N117" s="476"/>
      <c r="O117" s="140"/>
      <c r="P117" s="125"/>
      <c r="Q117" s="471"/>
      <c r="R117" s="151"/>
      <c r="S117" s="475"/>
      <c r="T117" s="356"/>
      <c r="U117" s="356"/>
      <c r="V117" s="356"/>
      <c r="W117" s="356"/>
      <c r="X117" s="356"/>
      <c r="Y117" s="356"/>
      <c r="Z117" s="356"/>
      <c r="AA117" s="356"/>
      <c r="AB117" s="356"/>
      <c r="AC117" s="476"/>
      <c r="AD117" s="140"/>
      <c r="AE117" s="125"/>
      <c r="AF117" s="471"/>
      <c r="AG117" s="151"/>
      <c r="AH117" s="475"/>
      <c r="AI117" s="356"/>
      <c r="AJ117" s="356"/>
      <c r="AK117" s="356"/>
      <c r="AL117" s="356"/>
      <c r="AM117" s="356"/>
      <c r="AN117" s="356"/>
      <c r="AO117" s="356"/>
      <c r="AP117" s="356"/>
      <c r="AQ117" s="356"/>
      <c r="AR117" s="476"/>
      <c r="AS117" s="140"/>
      <c r="AT117" s="125"/>
      <c r="AU117" s="471"/>
      <c r="AV117" s="151"/>
      <c r="AW117" s="475"/>
      <c r="AX117" s="356"/>
      <c r="AY117" s="356"/>
      <c r="AZ117" s="356"/>
      <c r="BA117" s="356"/>
      <c r="BB117" s="356"/>
      <c r="BC117" s="356"/>
      <c r="BD117" s="356"/>
      <c r="BE117" s="356"/>
      <c r="BF117" s="356"/>
      <c r="BG117" s="476"/>
      <c r="BH117" s="210"/>
    </row>
    <row r="118" spans="1:60" ht="11.25" customHeight="1">
      <c r="A118" s="125"/>
      <c r="B118" s="132" t="str">
        <f>IF(Roster!$AN$1=0,"",Roster!$AN$1)</f>
        <v>COST</v>
      </c>
      <c r="C118" s="133"/>
      <c r="D118" s="475"/>
      <c r="E118" s="356"/>
      <c r="F118" s="356"/>
      <c r="G118" s="356"/>
      <c r="H118" s="356"/>
      <c r="I118" s="356"/>
      <c r="J118" s="356"/>
      <c r="K118" s="356"/>
      <c r="L118" s="356"/>
      <c r="M118" s="356"/>
      <c r="N118" s="476"/>
      <c r="O118" s="143"/>
      <c r="P118" s="125"/>
      <c r="Q118" s="132" t="str">
        <f>IF(Roster!$AN$1=0,"",Roster!$AN$1)</f>
        <v>COST</v>
      </c>
      <c r="R118" s="151"/>
      <c r="S118" s="475"/>
      <c r="T118" s="356"/>
      <c r="U118" s="356"/>
      <c r="V118" s="356"/>
      <c r="W118" s="356"/>
      <c r="X118" s="356"/>
      <c r="Y118" s="356"/>
      <c r="Z118" s="356"/>
      <c r="AA118" s="356"/>
      <c r="AB118" s="356"/>
      <c r="AC118" s="476"/>
      <c r="AD118" s="143"/>
      <c r="AE118" s="125"/>
      <c r="AF118" s="132" t="str">
        <f>IF(Roster!$AN$1=0,"",Roster!$AN$1)</f>
        <v>COST</v>
      </c>
      <c r="AG118" s="151"/>
      <c r="AH118" s="475"/>
      <c r="AI118" s="356"/>
      <c r="AJ118" s="356"/>
      <c r="AK118" s="356"/>
      <c r="AL118" s="356"/>
      <c r="AM118" s="356"/>
      <c r="AN118" s="356"/>
      <c r="AO118" s="356"/>
      <c r="AP118" s="356"/>
      <c r="AQ118" s="356"/>
      <c r="AR118" s="476"/>
      <c r="AS118" s="143"/>
      <c r="AT118" s="125"/>
      <c r="AU118" s="132" t="str">
        <f>IF(Roster!$AN$1=0,"",Roster!$AN$1)</f>
        <v>COST</v>
      </c>
      <c r="AV118" s="151"/>
      <c r="AW118" s="475"/>
      <c r="AX118" s="356"/>
      <c r="AY118" s="356"/>
      <c r="AZ118" s="356"/>
      <c r="BA118" s="356"/>
      <c r="BB118" s="356"/>
      <c r="BC118" s="356"/>
      <c r="BD118" s="356"/>
      <c r="BE118" s="356"/>
      <c r="BF118" s="356"/>
      <c r="BG118" s="476"/>
      <c r="BH118" s="210"/>
    </row>
    <row r="119" spans="1:60" ht="34.5" customHeight="1">
      <c r="A119" s="125"/>
      <c r="B119" s="145" t="str">
        <f>IF(Roster!$AN$17=0,"",Roster!$AN$17)</f>
        <v/>
      </c>
      <c r="C119" s="146"/>
      <c r="D119" s="477"/>
      <c r="E119" s="478"/>
      <c r="F119" s="478"/>
      <c r="G119" s="478"/>
      <c r="H119" s="478"/>
      <c r="I119" s="478"/>
      <c r="J119" s="478"/>
      <c r="K119" s="478"/>
      <c r="L119" s="478"/>
      <c r="M119" s="478"/>
      <c r="N119" s="479"/>
      <c r="O119" s="143"/>
      <c r="P119" s="125"/>
      <c r="Q119" s="145" t="str">
        <f>IF(Roster!$AN$18=0,"",Roster!$AN$18)</f>
        <v/>
      </c>
      <c r="R119" s="151"/>
      <c r="S119" s="477"/>
      <c r="T119" s="478"/>
      <c r="U119" s="478"/>
      <c r="V119" s="478"/>
      <c r="W119" s="478"/>
      <c r="X119" s="478"/>
      <c r="Y119" s="478"/>
      <c r="Z119" s="478"/>
      <c r="AA119" s="478"/>
      <c r="AB119" s="478"/>
      <c r="AC119" s="479"/>
      <c r="AD119" s="143"/>
      <c r="AE119" s="125"/>
      <c r="AF119" s="145" t="str">
        <f>IF(Roster!$AN$19=0,"",Roster!$AN$19)</f>
        <v/>
      </c>
      <c r="AG119" s="151"/>
      <c r="AH119" s="477"/>
      <c r="AI119" s="478"/>
      <c r="AJ119" s="478"/>
      <c r="AK119" s="478"/>
      <c r="AL119" s="478"/>
      <c r="AM119" s="478"/>
      <c r="AN119" s="478"/>
      <c r="AO119" s="478"/>
      <c r="AP119" s="478"/>
      <c r="AQ119" s="478"/>
      <c r="AR119" s="479"/>
      <c r="AS119" s="143"/>
      <c r="AT119" s="125"/>
      <c r="AU119" s="145" t="str">
        <f>IF(Roster!$AN$20=0,"",Roster!$AN$20)</f>
        <v/>
      </c>
      <c r="AV119" s="151"/>
      <c r="AW119" s="477"/>
      <c r="AX119" s="478"/>
      <c r="AY119" s="478"/>
      <c r="AZ119" s="478"/>
      <c r="BA119" s="478"/>
      <c r="BB119" s="478"/>
      <c r="BC119" s="478"/>
      <c r="BD119" s="478"/>
      <c r="BE119" s="478"/>
      <c r="BF119" s="478"/>
      <c r="BG119" s="479"/>
      <c r="BH119" s="210"/>
    </row>
    <row r="120" spans="1:60" ht="4.5" customHeight="1">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1"/>
      <c r="AV120" s="212"/>
      <c r="AW120" s="212"/>
      <c r="AX120" s="212"/>
      <c r="AY120" s="212"/>
      <c r="AZ120" s="212"/>
      <c r="BA120" s="212"/>
      <c r="BB120" s="212"/>
      <c r="BC120" s="212"/>
      <c r="BD120" s="212"/>
      <c r="BE120" s="212"/>
      <c r="BF120" s="212"/>
      <c r="BG120" s="212"/>
      <c r="BH120" s="213"/>
    </row>
    <row r="121" spans="1:60" ht="10.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F2:AF4"/>
    <mergeCell ref="AU2:AU4"/>
    <mergeCell ref="R3:AC3"/>
    <mergeCell ref="AV3:BG3"/>
    <mergeCell ref="R4:AC4"/>
    <mergeCell ref="AV4:BG4"/>
    <mergeCell ref="AU12:AU16"/>
    <mergeCell ref="S14:AC14"/>
    <mergeCell ref="AH14:AR14"/>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S30:AC36"/>
    <mergeCell ref="B36:B40"/>
    <mergeCell ref="Q36:Q40"/>
    <mergeCell ref="AU36:AU40"/>
    <mergeCell ref="S38:AC38"/>
    <mergeCell ref="D30:N36"/>
    <mergeCell ref="D38:N38"/>
    <mergeCell ref="D39:N47"/>
    <mergeCell ref="S39:AC47"/>
    <mergeCell ref="B42:B45"/>
    <mergeCell ref="Q42:Q45"/>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AF60:AF64"/>
    <mergeCell ref="AF66:AF69"/>
    <mergeCell ref="R51:AC51"/>
    <mergeCell ref="R52:AC52"/>
    <mergeCell ref="S54:AC60"/>
    <mergeCell ref="S62:AC62"/>
    <mergeCell ref="AH62:AR62"/>
    <mergeCell ref="S63:AC71"/>
    <mergeCell ref="AH63:AR7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cols>
    <col min="1" max="1" width="9.140625" customWidth="1"/>
    <col min="2" max="34" width="15.7109375" customWidth="1"/>
  </cols>
  <sheetData>
    <row r="1" spans="1:34" ht="12.75" customHeight="1">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8" customFormat="1" ht="12.75" customHeight="1">
      <c r="A36" s="267" t="s">
        <v>1331</v>
      </c>
      <c r="B36" s="267" t="s">
        <v>1332</v>
      </c>
      <c r="C36" s="267">
        <v>5</v>
      </c>
      <c r="D36" s="267">
        <v>7</v>
      </c>
      <c r="E36" s="267" t="s">
        <v>900</v>
      </c>
      <c r="F36" s="267" t="s">
        <v>248</v>
      </c>
      <c r="G36" s="267"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69">
        <v>170000</v>
      </c>
      <c r="K36" s="267">
        <v>1</v>
      </c>
      <c r="L36" s="267"/>
      <c r="M36" s="270" t="s">
        <v>1333</v>
      </c>
      <c r="N36" s="168" t="s">
        <v>1334</v>
      </c>
      <c r="O36" s="168" t="s">
        <v>1335</v>
      </c>
      <c r="P36" s="168" t="s">
        <v>1336</v>
      </c>
      <c r="Q36" s="267"/>
      <c r="R36" s="267"/>
      <c r="S36" s="271" t="s">
        <v>1337</v>
      </c>
      <c r="T36" s="271" t="s">
        <v>1338</v>
      </c>
      <c r="U36" s="271" t="s">
        <v>1372</v>
      </c>
      <c r="V36" s="271" t="s">
        <v>1371</v>
      </c>
      <c r="W36" s="267"/>
      <c r="X36" s="267"/>
      <c r="Y36" s="267"/>
      <c r="Z36" s="267"/>
      <c r="AA36" s="267"/>
      <c r="AB36" s="267"/>
      <c r="AC36" s="267"/>
      <c r="AD36" s="267"/>
      <c r="AE36" s="267"/>
      <c r="AF36" s="267"/>
      <c r="AG36" s="267"/>
      <c r="AH36" s="267"/>
    </row>
    <row r="37" spans="1:42" s="168" customFormat="1" ht="12.75" customHeight="1">
      <c r="A37" s="267" t="s">
        <v>1339</v>
      </c>
      <c r="B37" s="267" t="s">
        <v>1340</v>
      </c>
      <c r="C37" s="267">
        <v>6</v>
      </c>
      <c r="D37" s="267">
        <v>3</v>
      </c>
      <c r="E37" s="267" t="s">
        <v>879</v>
      </c>
      <c r="F37" s="267" t="s">
        <v>879</v>
      </c>
      <c r="G37" s="267"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69">
        <v>80000</v>
      </c>
      <c r="K37" s="267">
        <v>1</v>
      </c>
      <c r="L37" s="267"/>
      <c r="M37" s="271" t="s">
        <v>1341</v>
      </c>
      <c r="N37" s="271" t="s">
        <v>1342</v>
      </c>
      <c r="O37" s="271" t="s">
        <v>1343</v>
      </c>
      <c r="P37" s="271" t="s">
        <v>1344</v>
      </c>
      <c r="Q37" s="268"/>
      <c r="R37" s="268"/>
      <c r="S37" s="270" t="s">
        <v>1345</v>
      </c>
      <c r="T37" s="270" t="s">
        <v>1346</v>
      </c>
      <c r="U37" s="270" t="s">
        <v>1347</v>
      </c>
      <c r="V37" s="270" t="s">
        <v>1348</v>
      </c>
      <c r="W37" s="268"/>
      <c r="X37" s="268"/>
      <c r="Y37" s="267"/>
      <c r="Z37" s="267"/>
      <c r="AA37" s="267"/>
      <c r="AB37" s="267"/>
      <c r="AC37" s="267"/>
      <c r="AD37" s="267"/>
      <c r="AE37" s="267"/>
      <c r="AF37" s="267"/>
      <c r="AG37" s="267"/>
      <c r="AH37" s="267"/>
    </row>
    <row r="38" spans="1:42" s="203" customFormat="1" ht="12.75" customHeight="1">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5" t="s">
        <v>1364</v>
      </c>
      <c r="O38" s="157" t="s">
        <v>1363</v>
      </c>
      <c r="P38" s="157" t="s">
        <v>1362</v>
      </c>
      <c r="Q38" s="157" t="s">
        <v>1361</v>
      </c>
      <c r="R38" s="157"/>
      <c r="S38" s="157" t="s">
        <v>1352</v>
      </c>
      <c r="T38" s="157" t="s">
        <v>1365</v>
      </c>
      <c r="U38" s="157" t="s">
        <v>1369</v>
      </c>
      <c r="V38" s="157" t="s">
        <v>1370</v>
      </c>
      <c r="W38" s="157"/>
      <c r="X38" s="14"/>
      <c r="Y38" s="14"/>
      <c r="Z38" s="14"/>
      <c r="AA38" s="204"/>
      <c r="AB38" s="204"/>
      <c r="AC38" s="204"/>
      <c r="AD38" s="204"/>
      <c r="AE38" s="204"/>
      <c r="AF38" s="204"/>
      <c r="AG38" s="204"/>
      <c r="AH38" s="204"/>
    </row>
    <row r="39" spans="1:42" s="203" customFormat="1" ht="12.75" customHeight="1">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4"/>
      <c r="AB39" s="204"/>
      <c r="AC39" s="204"/>
      <c r="AD39" s="204"/>
      <c r="AE39" s="204"/>
      <c r="AF39" s="204"/>
      <c r="AG39" s="204"/>
      <c r="AH39" s="204"/>
    </row>
    <row r="40" spans="1:42" s="203" customFormat="1" ht="12.75" customHeight="1">
      <c r="A40" s="204" t="s">
        <v>1323</v>
      </c>
      <c r="B40" s="204" t="s">
        <v>1326</v>
      </c>
      <c r="C40" s="204" t="str">
        <f>Mercenaries!C3</f>
        <v/>
      </c>
      <c r="D40" s="204" t="str">
        <f>Mercenaries!D3</f>
        <v/>
      </c>
      <c r="E40" s="204" t="str">
        <f>Mercenaries!E3</f>
        <v/>
      </c>
      <c r="F40" s="204" t="str">
        <f>Mercenaries!F3</f>
        <v/>
      </c>
      <c r="G40" s="204"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4"/>
      <c r="AB40" s="204"/>
      <c r="AC40" s="204"/>
      <c r="AD40" s="204"/>
      <c r="AE40" s="204"/>
      <c r="AF40" s="204"/>
      <c r="AG40" s="204"/>
      <c r="AH40" s="204"/>
    </row>
    <row r="41" spans="1:42" s="203" customFormat="1" ht="12.75" customHeight="1">
      <c r="A41" s="204" t="s">
        <v>1324</v>
      </c>
      <c r="B41" s="204" t="s">
        <v>1327</v>
      </c>
      <c r="C41" s="204" t="str">
        <f>Mercenaries!C16</f>
        <v/>
      </c>
      <c r="D41" s="204" t="str">
        <f>Mercenaries!D16</f>
        <v/>
      </c>
      <c r="E41" s="204" t="str">
        <f>Mercenaries!E16</f>
        <v/>
      </c>
      <c r="F41" s="204" t="str">
        <f>Mercenaries!F16</f>
        <v/>
      </c>
      <c r="G41" s="204"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4"/>
      <c r="AB41" s="204"/>
      <c r="AC41" s="204"/>
      <c r="AD41" s="204"/>
      <c r="AE41" s="204"/>
      <c r="AF41" s="204"/>
      <c r="AG41" s="204"/>
      <c r="AH41" s="204"/>
    </row>
    <row r="42" spans="1:42" s="203" customFormat="1" ht="12.75" customHeight="1">
      <c r="A42" s="204" t="s">
        <v>1325</v>
      </c>
      <c r="B42" s="204" t="s">
        <v>1328</v>
      </c>
      <c r="C42" s="204" t="str">
        <f>Mercenaries!C29</f>
        <v/>
      </c>
      <c r="D42" s="204" t="str">
        <f>Mercenaries!D29</f>
        <v/>
      </c>
      <c r="E42" s="204" t="str">
        <f>Mercenaries!E29</f>
        <v/>
      </c>
      <c r="F42" s="204" t="str">
        <f>Mercenaries!F29</f>
        <v/>
      </c>
      <c r="G42" s="204"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4"/>
      <c r="AB42" s="204"/>
      <c r="AC42" s="204"/>
      <c r="AD42" s="204"/>
      <c r="AE42" s="204"/>
      <c r="AF42" s="204"/>
      <c r="AG42" s="204"/>
      <c r="AH42" s="204"/>
    </row>
    <row r="43" spans="1:42" ht="12.75" customHeight="1">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c r="A45" s="14"/>
      <c r="B45" s="5"/>
      <c r="C45" s="159" t="str">
        <f t="shared" ref="C45:E45" si="0">IF(C46=1,C47,"")</f>
        <v/>
      </c>
      <c r="D45" s="159" t="str">
        <f t="shared" si="0"/>
        <v>AAA</v>
      </c>
      <c r="E45" s="159" t="str">
        <f t="shared" si="0"/>
        <v/>
      </c>
      <c r="F45" s="36" t="str">
        <f>IF(F46=1,F47,"")</f>
        <v/>
      </c>
      <c r="G45" s="159" t="str">
        <f t="shared" ref="G45:AO45" si="1">IF(G46=1,G47,"")</f>
        <v/>
      </c>
      <c r="H45" s="159" t="str">
        <f t="shared" si="1"/>
        <v/>
      </c>
      <c r="I45" s="159" t="str">
        <f t="shared" si="1"/>
        <v>AAB</v>
      </c>
      <c r="J45" s="159" t="str">
        <f t="shared" si="1"/>
        <v>AAR</v>
      </c>
      <c r="K45" s="159" t="str">
        <f t="shared" si="1"/>
        <v/>
      </c>
      <c r="L45" s="159" t="str">
        <f t="shared" si="1"/>
        <v>AAS</v>
      </c>
      <c r="M45" s="159" t="str">
        <f t="shared" si="1"/>
        <v/>
      </c>
      <c r="N45" s="159" t="str">
        <f t="shared" si="1"/>
        <v/>
      </c>
      <c r="O45" s="159" t="str">
        <f t="shared" si="1"/>
        <v/>
      </c>
      <c r="P45" s="159" t="str">
        <f t="shared" si="1"/>
        <v/>
      </c>
      <c r="Q45" s="159" t="str">
        <f t="shared" si="1"/>
        <v/>
      </c>
      <c r="R45" s="159" t="str">
        <f t="shared" si="1"/>
        <v/>
      </c>
      <c r="S45" s="159" t="str">
        <f t="shared" si="1"/>
        <v/>
      </c>
      <c r="T45" s="159" t="str">
        <f t="shared" si="1"/>
        <v/>
      </c>
      <c r="U45" s="159" t="str">
        <f t="shared" si="1"/>
        <v/>
      </c>
      <c r="V45" s="159" t="str">
        <f t="shared" si="1"/>
        <v/>
      </c>
      <c r="W45" s="159" t="str">
        <f t="shared" si="1"/>
        <v/>
      </c>
      <c r="X45" s="159" t="str">
        <f t="shared" si="1"/>
        <v>AAT</v>
      </c>
      <c r="Y45" s="159" t="str">
        <f t="shared" si="1"/>
        <v>AAV</v>
      </c>
      <c r="Z45" s="159" t="str">
        <f t="shared" si="1"/>
        <v/>
      </c>
      <c r="AA45" s="159" t="str">
        <f t="shared" si="1"/>
        <v/>
      </c>
      <c r="AB45" s="159" t="str">
        <f t="shared" si="1"/>
        <v>AAD</v>
      </c>
      <c r="AC45" s="159" t="str">
        <f t="shared" si="1"/>
        <v>AAE</v>
      </c>
      <c r="AD45" s="159" t="str">
        <f t="shared" si="1"/>
        <v/>
      </c>
      <c r="AE45" s="159" t="str">
        <f t="shared" si="1"/>
        <v/>
      </c>
      <c r="AF45" s="159" t="str">
        <f t="shared" si="1"/>
        <v>AAY</v>
      </c>
      <c r="AG45" s="159" t="str">
        <f t="shared" si="1"/>
        <v/>
      </c>
      <c r="AH45" s="159" t="str">
        <f t="shared" si="1"/>
        <v/>
      </c>
      <c r="AI45" s="159" t="str">
        <f t="shared" si="1"/>
        <v/>
      </c>
      <c r="AJ45" s="159" t="str">
        <f t="shared" si="1"/>
        <v>AAZ</v>
      </c>
      <c r="AK45" s="159" t="str">
        <f t="shared" si="1"/>
        <v>ABA</v>
      </c>
      <c r="AL45" s="159" t="str">
        <f t="shared" si="1"/>
        <v>AAG</v>
      </c>
      <c r="AM45" s="159" t="str">
        <f t="shared" si="1"/>
        <v>CCC</v>
      </c>
      <c r="AN45" s="159" t="str">
        <f t="shared" si="1"/>
        <v>DDD</v>
      </c>
      <c r="AO45" s="159" t="str">
        <f t="shared" si="1"/>
        <v>EEE</v>
      </c>
      <c r="AP45" s="159"/>
    </row>
    <row r="46" spans="1:42" ht="12.75" customHeight="1">
      <c r="A46" s="14"/>
      <c r="B46" s="5" t="str">
        <f>Roster!$BU$2</f>
        <v>ElvenKingdomsLeague</v>
      </c>
      <c r="C46" s="159">
        <f>VLOOKUP($B$46,$B$49:$BO$63,2,FALSE)</f>
        <v>0</v>
      </c>
      <c r="D46" s="36">
        <f>VLOOKUP($B$46,$B$49:$BO$63,3,FALSE)</f>
        <v>1</v>
      </c>
      <c r="E46" s="36">
        <f>VLOOKUP($B$46,$B$49:$BO$63,4,FALSE)</f>
        <v>0</v>
      </c>
      <c r="F46" s="36">
        <f>VLOOKUP($B$46,$B$49:$BO$63,5,FALSE)</f>
        <v>0</v>
      </c>
      <c r="G46" s="36">
        <f>VLOOKUP($B$46,$B$49:$BO$63,6,FALSE)</f>
        <v>0</v>
      </c>
      <c r="H46" s="36">
        <f>VLOOKUP($B$46,$B$49:$BO$63,7,FALSE)</f>
        <v>0</v>
      </c>
      <c r="I46" s="36">
        <f>VLOOKUP($B$46,$B$49:$BO$63,8,FALSE)</f>
        <v>1</v>
      </c>
      <c r="J46" s="36">
        <f>VLOOKUP($B$46,$B$49:$BO$63,9,FALSE)</f>
        <v>1</v>
      </c>
      <c r="K46" s="36">
        <f>VLOOKUP($B$46,$B$49:$BO$63,10,FALSE)</f>
        <v>0</v>
      </c>
      <c r="L46" s="36">
        <f>VLOOKUP($B$46,$B$49:$BO$63,11,FALSE)</f>
        <v>1</v>
      </c>
      <c r="M46" s="36">
        <f>VLOOKUP($B$46,$B$49:$BO$63,12,FALSE)</f>
        <v>0</v>
      </c>
      <c r="N46" s="36">
        <f>VLOOKUP($B$46,$B$49:$BO$63,13,FALSE)</f>
        <v>0</v>
      </c>
      <c r="O46" s="36">
        <f>VLOOKUP($B$46,$B$49:$BO$63,14,FALSE)</f>
        <v>0</v>
      </c>
      <c r="P46" s="36">
        <f>VLOOKUP($B$46,$B$49:$BO$63,15,FALSE)</f>
        <v>0</v>
      </c>
      <c r="Q46" s="36">
        <f>VLOOKUP($B$46,$B$49:$BO$63,16,FALSE)</f>
        <v>0</v>
      </c>
      <c r="R46" s="36">
        <f>VLOOKUP($B$46,$B$49:$BO$63,17,FALSE)</f>
        <v>0</v>
      </c>
      <c r="S46" s="36">
        <f>VLOOKUP($B$46,$B$49:$BO$63,18,FALSE)</f>
        <v>0</v>
      </c>
      <c r="T46" s="36">
        <f>VLOOKUP($B$46,$B$49:$BO$63,19,FALSE)</f>
        <v>0</v>
      </c>
      <c r="U46" s="36">
        <f>VLOOKUP($B$46,$B$49:$BO$63,20,FALSE)</f>
        <v>0</v>
      </c>
      <c r="V46" s="36">
        <f>VLOOKUP($B$46,$B$49:$BO$63,21,FALSE)</f>
        <v>0</v>
      </c>
      <c r="W46" s="36">
        <f>VLOOKUP($B$46,$B$49:$BO$63,22,FALSE)</f>
        <v>0</v>
      </c>
      <c r="X46" s="36">
        <f>VLOOKUP($B$46,$B$49:$BO$63,23,FALSE)</f>
        <v>1</v>
      </c>
      <c r="Y46" s="36">
        <f>VLOOKUP($B$46,$B$49:$BO$63,24,FALSE)</f>
        <v>1</v>
      </c>
      <c r="Z46" s="36">
        <f>VLOOKUP($B$46,$B$49:$BO$63,25,FALSE)</f>
        <v>0</v>
      </c>
      <c r="AA46" s="36">
        <f>VLOOKUP($B$46,$B$49:$BO$63,26,FALSE)</f>
        <v>0</v>
      </c>
      <c r="AB46" s="36">
        <f>VLOOKUP($B$46,$B$49:$BO$63,27,FALSE)</f>
        <v>1</v>
      </c>
      <c r="AC46" s="36">
        <f>VLOOKUP($B$46,$B$49:$BO$63,28,FALSE)</f>
        <v>1</v>
      </c>
      <c r="AD46" s="36">
        <f>VLOOKUP($B$46,$B$49:$BO$63,29,FALSE)</f>
        <v>0</v>
      </c>
      <c r="AE46" s="36">
        <f>VLOOKUP($B$46,$B$49:$BO$63,30,FALSE)</f>
        <v>0</v>
      </c>
      <c r="AF46" s="36">
        <f>VLOOKUP($B$46,$B$49:$BO$63,31,FALSE)</f>
        <v>1</v>
      </c>
      <c r="AG46" s="36">
        <f>VLOOKUP($B$46,$B$49:$BO$63,32,FALSE)</f>
        <v>0</v>
      </c>
      <c r="AH46" s="36">
        <f>VLOOKUP($B$46,$B$49:$BO$63,33,FALSE)</f>
        <v>0</v>
      </c>
      <c r="AI46" s="159">
        <f>VLOOKUP($B$46,$B$49:$BO$63,34,FALSE)</f>
        <v>0</v>
      </c>
      <c r="AJ46" s="159">
        <f>VLOOKUP($B$46,$B$49:$BO$63,35,FALSE)</f>
        <v>1</v>
      </c>
      <c r="AK46" s="159">
        <f>VLOOKUP($B$46,$B$49:$BO$63,36,FALSE)</f>
        <v>1</v>
      </c>
      <c r="AL46" s="159">
        <f>VLOOKUP($B$46,$B$49:$BO$63,37,FALSE)</f>
        <v>1</v>
      </c>
      <c r="AM46" s="159">
        <f>VLOOKUP($B$46,$B$49:$BO$63,38,FALSE)</f>
        <v>1</v>
      </c>
      <c r="AN46" s="159">
        <f>VLOOKUP($B$46,$B$49:$BO$63,39,FALSE)</f>
        <v>1</v>
      </c>
      <c r="AO46" s="159">
        <f>VLOOKUP($B$46,$B$49:$BO$63,40,FALSE)</f>
        <v>1</v>
      </c>
      <c r="AP46" s="159">
        <v>0</v>
      </c>
    </row>
    <row r="47" spans="1:42" s="168" customFormat="1" ht="12.75" customHeight="1">
      <c r="B47" s="271"/>
      <c r="C47" s="267" t="s">
        <v>1350</v>
      </c>
      <c r="D47" s="267" t="s">
        <v>865</v>
      </c>
      <c r="E47" s="267" t="s">
        <v>1349</v>
      </c>
      <c r="F47" s="267" t="s">
        <v>1339</v>
      </c>
      <c r="G47" s="267" t="s">
        <v>1116</v>
      </c>
      <c r="H47" s="267" t="s">
        <v>1176</v>
      </c>
      <c r="I47" s="267" t="s">
        <v>877</v>
      </c>
      <c r="J47" s="267" t="s">
        <v>1039</v>
      </c>
      <c r="K47" s="267" t="s">
        <v>1029</v>
      </c>
      <c r="L47" s="267" t="s">
        <v>1049</v>
      </c>
      <c r="M47" s="267" t="s">
        <v>960</v>
      </c>
      <c r="N47" s="267" t="s">
        <v>1331</v>
      </c>
      <c r="O47" s="267" t="s">
        <v>950</v>
      </c>
      <c r="P47" s="267" t="s">
        <v>970</v>
      </c>
      <c r="Q47" s="267" t="s">
        <v>1166</v>
      </c>
      <c r="R47" s="267" t="s">
        <v>939</v>
      </c>
      <c r="S47" s="267" t="s">
        <v>980</v>
      </c>
      <c r="T47" s="267" t="s">
        <v>990</v>
      </c>
      <c r="U47" s="267" t="s">
        <v>1146</v>
      </c>
      <c r="V47" s="267" t="s">
        <v>1126</v>
      </c>
      <c r="W47" s="267" t="s">
        <v>889</v>
      </c>
      <c r="X47" s="267" t="s">
        <v>1059</v>
      </c>
      <c r="Y47" s="267" t="s">
        <v>1069</v>
      </c>
      <c r="Z47" s="267" t="s">
        <v>1156</v>
      </c>
      <c r="AA47" s="267" t="s">
        <v>1020</v>
      </c>
      <c r="AB47" s="267" t="s">
        <v>898</v>
      </c>
      <c r="AC47" s="267" t="s">
        <v>910</v>
      </c>
      <c r="AD47" s="267" t="s">
        <v>1136</v>
      </c>
      <c r="AE47" s="267" t="s">
        <v>1106</v>
      </c>
      <c r="AF47" s="267" t="s">
        <v>1079</v>
      </c>
      <c r="AG47" s="267" t="s">
        <v>1000</v>
      </c>
      <c r="AH47" s="267" t="s">
        <v>1010</v>
      </c>
      <c r="AI47" s="267" t="s">
        <v>917</v>
      </c>
      <c r="AJ47" s="267" t="s">
        <v>1090</v>
      </c>
      <c r="AK47" s="267" t="s">
        <v>1100</v>
      </c>
      <c r="AL47" s="267" t="s">
        <v>928</v>
      </c>
      <c r="AM47" s="267" t="s">
        <v>1323</v>
      </c>
      <c r="AN47" s="267" t="s">
        <v>1324</v>
      </c>
      <c r="AO47" s="267" t="s">
        <v>1325</v>
      </c>
    </row>
    <row r="48" spans="1:42" s="168" customFormat="1" ht="12.75" customHeight="1">
      <c r="B48" s="271"/>
      <c r="C48" s="267" t="s">
        <v>1354</v>
      </c>
      <c r="D48" s="267" t="s">
        <v>866</v>
      </c>
      <c r="E48" s="267" t="s">
        <v>1351</v>
      </c>
      <c r="F48" s="267" t="s">
        <v>1340</v>
      </c>
      <c r="G48" s="267" t="s">
        <v>1117</v>
      </c>
      <c r="H48" s="267" t="s">
        <v>1177</v>
      </c>
      <c r="I48" s="267" t="s">
        <v>878</v>
      </c>
      <c r="J48" s="267" t="s">
        <v>1040</v>
      </c>
      <c r="K48" s="267" t="s">
        <v>1030</v>
      </c>
      <c r="L48" s="267" t="s">
        <v>1050</v>
      </c>
      <c r="M48" s="267" t="s">
        <v>961</v>
      </c>
      <c r="N48" s="267" t="s">
        <v>1332</v>
      </c>
      <c r="O48" s="267" t="s">
        <v>951</v>
      </c>
      <c r="P48" s="267" t="s">
        <v>971</v>
      </c>
      <c r="Q48" s="267" t="s">
        <v>1167</v>
      </c>
      <c r="R48" s="267" t="s">
        <v>940</v>
      </c>
      <c r="S48" s="267" t="s">
        <v>981</v>
      </c>
      <c r="T48" s="267" t="s">
        <v>991</v>
      </c>
      <c r="U48" s="267" t="s">
        <v>1147</v>
      </c>
      <c r="V48" s="267" t="s">
        <v>1127</v>
      </c>
      <c r="W48" s="267" t="s">
        <v>890</v>
      </c>
      <c r="X48" s="267" t="s">
        <v>1060</v>
      </c>
      <c r="Y48" s="267" t="s">
        <v>1070</v>
      </c>
      <c r="Z48" s="267" t="s">
        <v>1157</v>
      </c>
      <c r="AA48" s="267" t="s">
        <v>1021</v>
      </c>
      <c r="AB48" s="267" t="s">
        <v>899</v>
      </c>
      <c r="AC48" s="267" t="s">
        <v>911</v>
      </c>
      <c r="AD48" s="267" t="s">
        <v>1137</v>
      </c>
      <c r="AE48" s="267" t="s">
        <v>1107</v>
      </c>
      <c r="AF48" s="267" t="s">
        <v>1080</v>
      </c>
      <c r="AG48" s="267" t="s">
        <v>1001</v>
      </c>
      <c r="AH48" s="267" t="s">
        <v>1011</v>
      </c>
      <c r="AI48" s="267" t="s">
        <v>918</v>
      </c>
      <c r="AJ48" s="267" t="s">
        <v>1091</v>
      </c>
      <c r="AK48" s="267" t="s">
        <v>1101</v>
      </c>
      <c r="AL48" s="267" t="s">
        <v>929</v>
      </c>
      <c r="AM48" s="264" t="str">
        <f>IF([1]Roster!$K$25="Italiano","Mercenario 1",(IF([1]Roster!$K$25="Español","Mercenario 1",(IF([1]Roster!$K$25="Français","Mercenaire 1","Mercenary 1")))))</f>
        <v>Mercenary 1</v>
      </c>
      <c r="AN48" s="264" t="str">
        <f>IF([1]Roster!$K$25="Italiano","Mercenario 2",(IF([1]Roster!$K$25="Español","Mercenario 2",(IF([1]Roster!$K$25="Français","Mercenaire 2","Mercenary 2")))))</f>
        <v>Mercenary 2</v>
      </c>
      <c r="AO48" s="264" t="str">
        <f>IF([1]Roster!$K$25="Italiano","Mercenario 3",(IF([1]Roster!$K$25="Español","Mercenario 3",(IF([1]Roster!$K$25="Français","Mercenaire 3","Mercenary 3")))))</f>
        <v>Mercenary 3</v>
      </c>
    </row>
    <row r="49" spans="1:41" s="168" customFormat="1" ht="12.75" customHeight="1">
      <c r="B49" s="267" t="s">
        <v>39</v>
      </c>
      <c r="C49" s="267">
        <v>1</v>
      </c>
      <c r="D49" s="267">
        <v>1</v>
      </c>
      <c r="E49" s="267">
        <v>1</v>
      </c>
      <c r="F49" s="267"/>
      <c r="G49" s="267"/>
      <c r="I49" s="267">
        <v>1</v>
      </c>
      <c r="J49" s="267"/>
      <c r="K49" s="267"/>
      <c r="L49" s="267"/>
      <c r="M49" s="267"/>
      <c r="N49" s="267"/>
      <c r="O49" s="267"/>
      <c r="P49" s="267"/>
      <c r="Q49" s="267"/>
      <c r="R49" s="267"/>
      <c r="S49" s="267"/>
      <c r="T49" s="267"/>
      <c r="U49" s="267"/>
      <c r="V49" s="267"/>
      <c r="W49" s="267">
        <v>1</v>
      </c>
      <c r="X49" s="267"/>
      <c r="Y49" s="267"/>
      <c r="Z49" s="267"/>
      <c r="AA49" s="267"/>
      <c r="AB49" s="267">
        <v>1</v>
      </c>
      <c r="AC49" s="267">
        <v>1</v>
      </c>
      <c r="AD49" s="267"/>
      <c r="AE49" s="267"/>
      <c r="AF49" s="267"/>
      <c r="AG49" s="267"/>
      <c r="AH49" s="267"/>
      <c r="AI49" s="267">
        <v>1</v>
      </c>
      <c r="AJ49" s="267"/>
      <c r="AK49" s="267"/>
      <c r="AL49" s="267">
        <v>1</v>
      </c>
      <c r="AM49" s="267">
        <v>1</v>
      </c>
      <c r="AN49" s="267">
        <v>1</v>
      </c>
      <c r="AO49" s="267">
        <v>1</v>
      </c>
    </row>
    <row r="50" spans="1:41" s="168" customFormat="1" ht="12.75" customHeight="1">
      <c r="B50" s="267" t="s">
        <v>161</v>
      </c>
      <c r="C50" s="267">
        <v>1</v>
      </c>
      <c r="D50" s="267">
        <v>1</v>
      </c>
      <c r="E50" s="267">
        <v>1</v>
      </c>
      <c r="F50" s="267"/>
      <c r="G50" s="267"/>
      <c r="I50" s="267">
        <v>1</v>
      </c>
      <c r="J50" s="267"/>
      <c r="K50" s="267"/>
      <c r="L50" s="267"/>
      <c r="M50" s="267"/>
      <c r="N50" s="267">
        <v>1</v>
      </c>
      <c r="O50" s="267">
        <v>1</v>
      </c>
      <c r="P50" s="267"/>
      <c r="Q50" s="267"/>
      <c r="R50" s="267">
        <v>1</v>
      </c>
      <c r="S50" s="267"/>
      <c r="T50" s="267"/>
      <c r="U50" s="267"/>
      <c r="V50" s="267"/>
      <c r="W50" s="267">
        <v>1</v>
      </c>
      <c r="X50" s="267"/>
      <c r="Y50" s="267"/>
      <c r="Z50" s="267"/>
      <c r="AA50" s="267"/>
      <c r="AB50" s="267">
        <v>1</v>
      </c>
      <c r="AC50" s="267">
        <v>1</v>
      </c>
      <c r="AD50" s="267"/>
      <c r="AE50" s="267"/>
      <c r="AF50" s="267"/>
      <c r="AG50" s="267"/>
      <c r="AH50" s="267"/>
      <c r="AI50" s="267">
        <v>1</v>
      </c>
      <c r="AJ50" s="267"/>
      <c r="AK50" s="267"/>
      <c r="AL50" s="267">
        <v>1</v>
      </c>
      <c r="AM50" s="267">
        <v>1</v>
      </c>
      <c r="AN50" s="267">
        <v>1</v>
      </c>
      <c r="AO50" s="267">
        <v>1</v>
      </c>
    </row>
    <row r="51" spans="1:41" s="168" customFormat="1" ht="12.75" customHeight="1">
      <c r="B51" s="267" t="s">
        <v>1186</v>
      </c>
      <c r="C51" s="267"/>
      <c r="D51" s="267">
        <v>1</v>
      </c>
      <c r="E51" s="267"/>
      <c r="F51" s="267">
        <v>1</v>
      </c>
      <c r="G51" s="267"/>
      <c r="I51" s="267">
        <v>1</v>
      </c>
      <c r="J51" s="267"/>
      <c r="K51" s="267"/>
      <c r="L51" s="267"/>
      <c r="M51" s="267">
        <v>1</v>
      </c>
      <c r="N51" s="267"/>
      <c r="O51" s="267"/>
      <c r="P51" s="267">
        <v>1</v>
      </c>
      <c r="Q51" s="267"/>
      <c r="R51" s="267"/>
      <c r="S51" s="267">
        <v>1</v>
      </c>
      <c r="T51" s="267">
        <v>1</v>
      </c>
      <c r="U51" s="267">
        <v>1</v>
      </c>
      <c r="V51" s="267"/>
      <c r="W51" s="267"/>
      <c r="X51" s="267"/>
      <c r="Y51" s="267"/>
      <c r="Z51" s="267"/>
      <c r="AA51" s="267"/>
      <c r="AB51" s="267">
        <v>1</v>
      </c>
      <c r="AC51" s="267">
        <v>1</v>
      </c>
      <c r="AD51" s="267"/>
      <c r="AE51" s="267"/>
      <c r="AF51" s="267"/>
      <c r="AG51" s="267">
        <v>1</v>
      </c>
      <c r="AH51" s="267">
        <v>1</v>
      </c>
      <c r="AI51" s="267"/>
      <c r="AJ51" s="267"/>
      <c r="AK51" s="267"/>
      <c r="AL51" s="267">
        <v>1</v>
      </c>
      <c r="AM51" s="267">
        <v>1</v>
      </c>
      <c r="AN51" s="267">
        <v>1</v>
      </c>
      <c r="AO51" s="267">
        <v>1</v>
      </c>
    </row>
    <row r="52" spans="1:41" s="168" customFormat="1" ht="12.75" customHeight="1">
      <c r="B52" s="267" t="s">
        <v>97</v>
      </c>
      <c r="C52" s="267"/>
      <c r="D52" s="267">
        <v>1</v>
      </c>
      <c r="E52" s="267"/>
      <c r="F52" s="267">
        <v>1</v>
      </c>
      <c r="G52" s="267"/>
      <c r="I52" s="267">
        <v>1</v>
      </c>
      <c r="J52" s="267"/>
      <c r="K52" s="267"/>
      <c r="L52" s="267"/>
      <c r="M52" s="267">
        <v>1</v>
      </c>
      <c r="N52" s="267"/>
      <c r="O52" s="267"/>
      <c r="P52" s="267">
        <v>1</v>
      </c>
      <c r="Q52" s="267"/>
      <c r="R52" s="267"/>
      <c r="S52" s="267">
        <v>1</v>
      </c>
      <c r="T52" s="267">
        <v>1</v>
      </c>
      <c r="U52" s="267">
        <v>1</v>
      </c>
      <c r="V52" s="267"/>
      <c r="W52" s="267"/>
      <c r="X52" s="267"/>
      <c r="Y52" s="267"/>
      <c r="Z52" s="267"/>
      <c r="AA52" s="267">
        <v>1</v>
      </c>
      <c r="AB52" s="267">
        <v>1</v>
      </c>
      <c r="AC52" s="267">
        <v>1</v>
      </c>
      <c r="AD52" s="267"/>
      <c r="AE52" s="267"/>
      <c r="AF52" s="267"/>
      <c r="AG52" s="267">
        <v>1</v>
      </c>
      <c r="AH52" s="267">
        <v>1</v>
      </c>
      <c r="AI52" s="267"/>
      <c r="AJ52" s="267"/>
      <c r="AK52" s="267"/>
      <c r="AL52" s="267">
        <v>1</v>
      </c>
      <c r="AM52" s="267">
        <v>1</v>
      </c>
      <c r="AN52" s="267">
        <v>1</v>
      </c>
      <c r="AO52" s="267">
        <v>1</v>
      </c>
    </row>
    <row r="53" spans="1:41" s="168" customFormat="1" ht="12.75" customHeight="1">
      <c r="B53" s="267" t="s">
        <v>1187</v>
      </c>
      <c r="C53" s="267"/>
      <c r="D53" s="267">
        <v>1</v>
      </c>
      <c r="E53" s="267"/>
      <c r="F53" s="267">
        <v>1</v>
      </c>
      <c r="G53" s="267"/>
      <c r="I53" s="267">
        <v>1</v>
      </c>
      <c r="J53" s="267"/>
      <c r="K53" s="267">
        <v>1</v>
      </c>
      <c r="L53" s="267"/>
      <c r="M53" s="267">
        <v>1</v>
      </c>
      <c r="N53" s="267"/>
      <c r="O53" s="267"/>
      <c r="P53" s="267">
        <v>1</v>
      </c>
      <c r="Q53" s="267"/>
      <c r="R53" s="267"/>
      <c r="S53" s="267"/>
      <c r="T53" s="267"/>
      <c r="U53" s="267"/>
      <c r="V53" s="267"/>
      <c r="W53" s="267"/>
      <c r="X53" s="267"/>
      <c r="Y53" s="267"/>
      <c r="Z53" s="267"/>
      <c r="AA53" s="267"/>
      <c r="AB53" s="267">
        <v>1</v>
      </c>
      <c r="AC53" s="267">
        <v>1</v>
      </c>
      <c r="AD53" s="267"/>
      <c r="AE53" s="267"/>
      <c r="AF53" s="267"/>
      <c r="AG53" s="267"/>
      <c r="AH53" s="267"/>
      <c r="AI53" s="267"/>
      <c r="AJ53" s="267"/>
      <c r="AK53" s="267"/>
      <c r="AL53" s="267">
        <v>1</v>
      </c>
      <c r="AM53" s="267">
        <v>1</v>
      </c>
      <c r="AN53" s="267">
        <v>1</v>
      </c>
      <c r="AO53" s="267">
        <v>1</v>
      </c>
    </row>
    <row r="54" spans="1:41" s="168" customFormat="1" ht="12.75" customHeight="1">
      <c r="B54" s="267" t="s">
        <v>67</v>
      </c>
      <c r="C54" s="267"/>
      <c r="D54" s="267">
        <v>1</v>
      </c>
      <c r="E54" s="267"/>
      <c r="F54" s="267"/>
      <c r="G54" s="267"/>
      <c r="I54" s="267">
        <v>1</v>
      </c>
      <c r="J54" s="267">
        <v>1</v>
      </c>
      <c r="K54" s="267"/>
      <c r="L54" s="267">
        <v>1</v>
      </c>
      <c r="M54" s="267"/>
      <c r="N54" s="267"/>
      <c r="O54" s="267"/>
      <c r="P54" s="267"/>
      <c r="Q54" s="267"/>
      <c r="R54" s="267"/>
      <c r="S54" s="267"/>
      <c r="T54" s="267"/>
      <c r="U54" s="267"/>
      <c r="V54" s="267"/>
      <c r="W54" s="267"/>
      <c r="X54" s="267">
        <v>1</v>
      </c>
      <c r="Y54" s="267">
        <v>1</v>
      </c>
      <c r="Z54" s="267"/>
      <c r="AA54" s="267"/>
      <c r="AB54" s="267">
        <v>1</v>
      </c>
      <c r="AC54" s="267">
        <v>1</v>
      </c>
      <c r="AD54" s="267"/>
      <c r="AE54" s="267"/>
      <c r="AF54" s="267">
        <v>1</v>
      </c>
      <c r="AG54" s="267"/>
      <c r="AH54" s="267"/>
      <c r="AI54" s="267"/>
      <c r="AJ54" s="267">
        <v>1</v>
      </c>
      <c r="AK54" s="267">
        <v>1</v>
      </c>
      <c r="AL54" s="267">
        <v>1</v>
      </c>
      <c r="AM54" s="267">
        <v>1</v>
      </c>
      <c r="AN54" s="267">
        <v>1</v>
      </c>
      <c r="AO54" s="267">
        <v>1</v>
      </c>
    </row>
    <row r="55" spans="1:41" s="168" customFormat="1" ht="12.75" customHeight="1">
      <c r="B55" s="267" t="s">
        <v>1188</v>
      </c>
      <c r="C55" s="267"/>
      <c r="D55" s="267">
        <v>1</v>
      </c>
      <c r="E55" s="267"/>
      <c r="F55" s="267"/>
      <c r="G55" s="267"/>
      <c r="H55" s="267">
        <v>1</v>
      </c>
      <c r="I55" s="267">
        <v>1</v>
      </c>
      <c r="J55" s="267"/>
      <c r="K55" s="267"/>
      <c r="L55" s="267"/>
      <c r="M55" s="267"/>
      <c r="N55" s="267">
        <v>1</v>
      </c>
      <c r="O55" s="267">
        <v>1</v>
      </c>
      <c r="P55" s="267"/>
      <c r="Q55" s="267">
        <v>1</v>
      </c>
      <c r="R55" s="267">
        <v>1</v>
      </c>
      <c r="S55" s="267"/>
      <c r="T55" s="267"/>
      <c r="U55" s="267"/>
      <c r="V55" s="267"/>
      <c r="W55" s="267"/>
      <c r="X55" s="267"/>
      <c r="Y55" s="267"/>
      <c r="Z55" s="267">
        <v>1</v>
      </c>
      <c r="AA55" s="267"/>
      <c r="AB55" s="267">
        <v>1</v>
      </c>
      <c r="AC55" s="267">
        <v>1</v>
      </c>
      <c r="AD55" s="267"/>
      <c r="AE55" s="267">
        <v>1</v>
      </c>
      <c r="AF55" s="267"/>
      <c r="AG55" s="267"/>
      <c r="AH55" s="267"/>
      <c r="AI55" s="267"/>
      <c r="AJ55" s="267"/>
      <c r="AK55" s="267"/>
      <c r="AL55" s="267">
        <v>1</v>
      </c>
      <c r="AM55" s="267">
        <v>1</v>
      </c>
      <c r="AN55" s="267">
        <v>1</v>
      </c>
      <c r="AO55" s="267">
        <v>1</v>
      </c>
    </row>
    <row r="56" spans="1:41" s="168" customFormat="1" ht="12.75" customHeight="1">
      <c r="B56" s="267" t="s">
        <v>116</v>
      </c>
      <c r="C56" s="267"/>
      <c r="D56" s="267">
        <v>1</v>
      </c>
      <c r="E56" s="267"/>
      <c r="F56" s="267"/>
      <c r="G56" s="267">
        <v>1</v>
      </c>
      <c r="H56" s="267"/>
      <c r="I56" s="267">
        <v>1</v>
      </c>
      <c r="J56" s="267"/>
      <c r="K56" s="267">
        <v>1</v>
      </c>
      <c r="L56" s="267"/>
      <c r="M56" s="267"/>
      <c r="N56" s="267"/>
      <c r="O56" s="267"/>
      <c r="P56" s="267"/>
      <c r="Q56" s="267"/>
      <c r="R56" s="267"/>
      <c r="S56" s="267"/>
      <c r="T56" s="267"/>
      <c r="U56" s="267"/>
      <c r="V56" s="267">
        <v>1</v>
      </c>
      <c r="W56" s="267"/>
      <c r="X56" s="267"/>
      <c r="Y56" s="267"/>
      <c r="Z56" s="267"/>
      <c r="AA56" s="267">
        <v>1</v>
      </c>
      <c r="AB56" s="267">
        <v>1</v>
      </c>
      <c r="AC56" s="267">
        <v>1</v>
      </c>
      <c r="AD56" s="267">
        <v>1</v>
      </c>
      <c r="AE56" s="267"/>
      <c r="AF56" s="267"/>
      <c r="AG56" s="267"/>
      <c r="AH56" s="267"/>
      <c r="AI56" s="267"/>
      <c r="AJ56" s="267"/>
      <c r="AK56" s="267"/>
      <c r="AL56" s="267"/>
      <c r="AM56" s="267">
        <v>1</v>
      </c>
      <c r="AN56" s="267">
        <v>1</v>
      </c>
      <c r="AO56" s="267">
        <v>1</v>
      </c>
    </row>
    <row r="57" spans="1:41" s="168" customFormat="1" ht="12.75" customHeight="1">
      <c r="B57" s="267" t="s">
        <v>33</v>
      </c>
      <c r="C57" s="267"/>
      <c r="D57" s="267">
        <v>1</v>
      </c>
      <c r="E57" s="267"/>
      <c r="F57" s="267"/>
      <c r="G57" s="267"/>
      <c r="H57" s="267"/>
      <c r="I57" s="267">
        <v>1</v>
      </c>
      <c r="J57" s="267"/>
      <c r="K57" s="267"/>
      <c r="L57" s="267"/>
      <c r="M57" s="267"/>
      <c r="N57" s="267"/>
      <c r="O57" s="267"/>
      <c r="P57" s="271"/>
      <c r="Q57" s="271"/>
      <c r="R57" s="267"/>
      <c r="S57" s="267">
        <v>1</v>
      </c>
      <c r="T57" s="267">
        <v>1</v>
      </c>
      <c r="U57" s="267">
        <v>1</v>
      </c>
      <c r="V57" s="267"/>
      <c r="W57" s="267"/>
      <c r="X57" s="267"/>
      <c r="Y57" s="267">
        <v>1</v>
      </c>
      <c r="Z57" s="267"/>
      <c r="AA57" s="267"/>
      <c r="AB57" s="267">
        <v>1</v>
      </c>
      <c r="AC57" s="267">
        <v>1</v>
      </c>
      <c r="AD57" s="267"/>
      <c r="AE57" s="267"/>
      <c r="AF57" s="267"/>
      <c r="AG57" s="267"/>
      <c r="AH57" s="267"/>
      <c r="AI57" s="267"/>
      <c r="AJ57" s="267"/>
      <c r="AK57" s="267"/>
      <c r="AL57" s="267">
        <v>1</v>
      </c>
      <c r="AM57" s="267">
        <v>1</v>
      </c>
      <c r="AN57" s="267">
        <v>1</v>
      </c>
      <c r="AO57" s="267">
        <v>1</v>
      </c>
    </row>
    <row r="58" spans="1:41" s="168" customFormat="1" ht="12.75" customHeight="1">
      <c r="B58" s="267" t="s">
        <v>133</v>
      </c>
      <c r="C58" s="267">
        <v>1</v>
      </c>
      <c r="D58" s="267">
        <v>1</v>
      </c>
      <c r="E58" s="267">
        <v>1</v>
      </c>
      <c r="F58" s="267">
        <v>1</v>
      </c>
      <c r="G58" s="267"/>
      <c r="H58" s="267"/>
      <c r="I58" s="267">
        <v>1</v>
      </c>
      <c r="J58" s="267"/>
      <c r="K58" s="267"/>
      <c r="L58" s="267"/>
      <c r="M58" s="267">
        <v>1</v>
      </c>
      <c r="N58" s="267"/>
      <c r="O58" s="267"/>
      <c r="P58" s="267">
        <v>1</v>
      </c>
      <c r="Q58" s="267"/>
      <c r="R58" s="267"/>
      <c r="S58" s="267">
        <v>1</v>
      </c>
      <c r="T58" s="267">
        <v>1</v>
      </c>
      <c r="U58" s="267">
        <v>1</v>
      </c>
      <c r="V58" s="267"/>
      <c r="W58" s="267">
        <v>1</v>
      </c>
      <c r="X58" s="267"/>
      <c r="Y58" s="267"/>
      <c r="Z58" s="267"/>
      <c r="AA58" s="267">
        <v>1</v>
      </c>
      <c r="AB58" s="267">
        <v>1</v>
      </c>
      <c r="AC58" s="267">
        <v>1</v>
      </c>
      <c r="AD58" s="267"/>
      <c r="AE58" s="267"/>
      <c r="AF58" s="267"/>
      <c r="AG58" s="267">
        <v>1</v>
      </c>
      <c r="AH58" s="267">
        <v>1</v>
      </c>
      <c r="AI58" s="267">
        <v>1</v>
      </c>
      <c r="AJ58" s="267"/>
      <c r="AK58" s="267"/>
      <c r="AL58" s="267">
        <v>1</v>
      </c>
      <c r="AM58" s="267">
        <v>1</v>
      </c>
      <c r="AN58" s="267">
        <v>1</v>
      </c>
      <c r="AO58" s="267">
        <v>1</v>
      </c>
    </row>
    <row r="59" spans="1:41" s="168" customFormat="1" ht="12.75" customHeight="1">
      <c r="B59" s="267" t="s">
        <v>123</v>
      </c>
      <c r="C59" s="267"/>
      <c r="D59" s="267">
        <v>1</v>
      </c>
      <c r="E59" s="267"/>
      <c r="F59" s="267">
        <v>1</v>
      </c>
      <c r="G59" s="267"/>
      <c r="H59" s="267"/>
      <c r="I59" s="267">
        <v>1</v>
      </c>
      <c r="J59" s="267"/>
      <c r="K59" s="267"/>
      <c r="L59" s="267"/>
      <c r="M59" s="267">
        <v>1</v>
      </c>
      <c r="N59" s="267"/>
      <c r="O59" s="267"/>
      <c r="P59" s="267">
        <v>1</v>
      </c>
      <c r="Q59" s="267"/>
      <c r="R59" s="267"/>
      <c r="S59" s="267">
        <v>1</v>
      </c>
      <c r="T59" s="267">
        <v>1</v>
      </c>
      <c r="U59" s="267">
        <v>1</v>
      </c>
      <c r="V59" s="267"/>
      <c r="W59" s="267"/>
      <c r="X59" s="267"/>
      <c r="Y59" s="267">
        <v>1</v>
      </c>
      <c r="Z59" s="267"/>
      <c r="AA59" s="267">
        <v>1</v>
      </c>
      <c r="AB59" s="267">
        <v>1</v>
      </c>
      <c r="AC59" s="267">
        <v>1</v>
      </c>
      <c r="AD59" s="267"/>
      <c r="AE59" s="267"/>
      <c r="AF59" s="267"/>
      <c r="AG59" s="267">
        <v>1</v>
      </c>
      <c r="AH59" s="267">
        <v>1</v>
      </c>
      <c r="AI59" s="267"/>
      <c r="AJ59" s="267"/>
      <c r="AK59" s="267"/>
      <c r="AL59" s="267">
        <v>1</v>
      </c>
      <c r="AM59" s="267">
        <v>1</v>
      </c>
      <c r="AN59" s="267">
        <v>1</v>
      </c>
      <c r="AO59" s="267">
        <v>1</v>
      </c>
    </row>
    <row r="60" spans="1:41" s="168" customFormat="1" ht="12.75" customHeight="1">
      <c r="B60" s="267" t="s">
        <v>87</v>
      </c>
      <c r="C60" s="267"/>
      <c r="D60" s="267">
        <v>1</v>
      </c>
      <c r="E60" s="267"/>
      <c r="F60" s="267">
        <v>1</v>
      </c>
      <c r="G60" s="267"/>
      <c r="H60" s="267"/>
      <c r="I60" s="267">
        <v>1</v>
      </c>
      <c r="J60" s="267"/>
      <c r="K60" s="267"/>
      <c r="L60" s="267"/>
      <c r="M60" s="267">
        <v>1</v>
      </c>
      <c r="N60" s="267"/>
      <c r="O60" s="267"/>
      <c r="P60" s="267">
        <v>1</v>
      </c>
      <c r="Q60" s="267"/>
      <c r="R60" s="267"/>
      <c r="S60" s="267">
        <v>1</v>
      </c>
      <c r="T60" s="267">
        <v>1</v>
      </c>
      <c r="U60" s="267">
        <v>1</v>
      </c>
      <c r="V60" s="267"/>
      <c r="W60" s="267"/>
      <c r="X60" s="267"/>
      <c r="Y60" s="267"/>
      <c r="Z60" s="267"/>
      <c r="AA60" s="267">
        <v>1</v>
      </c>
      <c r="AB60" s="267">
        <v>1</v>
      </c>
      <c r="AC60" s="267">
        <v>1</v>
      </c>
      <c r="AD60" s="267"/>
      <c r="AE60" s="267"/>
      <c r="AF60" s="267"/>
      <c r="AG60" s="267">
        <v>1</v>
      </c>
      <c r="AH60" s="267">
        <v>1</v>
      </c>
      <c r="AI60" s="267"/>
      <c r="AJ60" s="267"/>
      <c r="AK60" s="267"/>
      <c r="AL60" s="267">
        <v>1</v>
      </c>
      <c r="AM60" s="267">
        <v>1</v>
      </c>
      <c r="AN60" s="267">
        <v>1</v>
      </c>
      <c r="AO60" s="267">
        <v>1</v>
      </c>
    </row>
    <row r="61" spans="1:41" s="168" customFormat="1" ht="12.75" customHeight="1">
      <c r="B61" s="267" t="s">
        <v>82</v>
      </c>
      <c r="C61" s="267">
        <v>1</v>
      </c>
      <c r="D61" s="267">
        <v>1</v>
      </c>
      <c r="E61" s="267">
        <v>1</v>
      </c>
      <c r="F61" s="267"/>
      <c r="G61" s="267"/>
      <c r="H61" s="267"/>
      <c r="I61" s="267">
        <v>1</v>
      </c>
      <c r="J61" s="267"/>
      <c r="K61" s="267"/>
      <c r="L61" s="267"/>
      <c r="M61" s="267"/>
      <c r="N61" s="267">
        <v>1</v>
      </c>
      <c r="O61" s="267">
        <v>1</v>
      </c>
      <c r="P61" s="267"/>
      <c r="Q61" s="267"/>
      <c r="R61" s="267">
        <v>1</v>
      </c>
      <c r="S61" s="267"/>
      <c r="T61" s="267"/>
      <c r="U61" s="267"/>
      <c r="V61" s="267"/>
      <c r="W61" s="267">
        <v>1</v>
      </c>
      <c r="X61" s="267"/>
      <c r="Y61" s="267"/>
      <c r="Z61" s="267"/>
      <c r="AA61" s="267"/>
      <c r="AB61" s="267">
        <v>1</v>
      </c>
      <c r="AC61" s="267">
        <v>1</v>
      </c>
      <c r="AD61" s="267"/>
      <c r="AE61" s="267"/>
      <c r="AF61" s="267"/>
      <c r="AG61" s="267"/>
      <c r="AH61" s="267"/>
      <c r="AI61" s="267">
        <v>1</v>
      </c>
      <c r="AJ61" s="267"/>
      <c r="AK61" s="267"/>
      <c r="AL61" s="267">
        <v>1</v>
      </c>
      <c r="AM61" s="267">
        <v>1</v>
      </c>
      <c r="AN61" s="267">
        <v>1</v>
      </c>
      <c r="AO61" s="267">
        <v>1</v>
      </c>
    </row>
    <row r="62" spans="1:41" s="168" customFormat="1" ht="12.75" customHeight="1">
      <c r="B62" s="267" t="s">
        <v>72</v>
      </c>
      <c r="C62" s="267"/>
      <c r="D62" s="267">
        <v>1</v>
      </c>
      <c r="E62" s="267"/>
      <c r="F62" s="267">
        <v>1</v>
      </c>
      <c r="G62" s="267"/>
      <c r="H62" s="267"/>
      <c r="I62" s="267">
        <v>1</v>
      </c>
      <c r="J62" s="267"/>
      <c r="K62" s="267">
        <v>1</v>
      </c>
      <c r="L62" s="267"/>
      <c r="M62" s="267">
        <v>1</v>
      </c>
      <c r="N62" s="267"/>
      <c r="O62" s="267"/>
      <c r="P62" s="267">
        <v>1</v>
      </c>
      <c r="Q62" s="267"/>
      <c r="R62" s="267"/>
      <c r="S62" s="267">
        <v>1</v>
      </c>
      <c r="T62" s="267">
        <v>1</v>
      </c>
      <c r="U62" s="267">
        <v>1</v>
      </c>
      <c r="V62" s="267"/>
      <c r="W62" s="267"/>
      <c r="X62" s="267"/>
      <c r="Y62" s="267"/>
      <c r="Z62" s="267"/>
      <c r="AA62" s="267">
        <v>1</v>
      </c>
      <c r="AB62" s="267">
        <v>1</v>
      </c>
      <c r="AC62" s="267">
        <v>1</v>
      </c>
      <c r="AD62" s="267"/>
      <c r="AE62" s="267"/>
      <c r="AF62" s="267"/>
      <c r="AG62" s="267">
        <v>1</v>
      </c>
      <c r="AH62" s="267">
        <v>1</v>
      </c>
      <c r="AI62" s="267"/>
      <c r="AJ62" s="267"/>
      <c r="AK62" s="267"/>
      <c r="AL62" s="267">
        <v>1</v>
      </c>
      <c r="AM62" s="267">
        <v>1</v>
      </c>
      <c r="AN62" s="267">
        <v>1</v>
      </c>
      <c r="AO62" s="267">
        <v>1</v>
      </c>
    </row>
    <row r="63" spans="1:41" s="168" customFormat="1" ht="12.75" customHeight="1">
      <c r="B63" s="267" t="s">
        <v>1189</v>
      </c>
      <c r="C63" s="267"/>
      <c r="D63" s="267">
        <v>1</v>
      </c>
      <c r="E63" s="267"/>
      <c r="F63" s="267">
        <v>1</v>
      </c>
      <c r="G63" s="267"/>
      <c r="H63" s="267">
        <v>1</v>
      </c>
      <c r="I63" s="267">
        <v>1</v>
      </c>
      <c r="J63" s="267"/>
      <c r="K63" s="267">
        <v>1</v>
      </c>
      <c r="L63" s="267"/>
      <c r="M63" s="267">
        <v>1</v>
      </c>
      <c r="N63" s="267">
        <v>1</v>
      </c>
      <c r="O63" s="267">
        <v>1</v>
      </c>
      <c r="P63" s="267">
        <v>1</v>
      </c>
      <c r="Q63" s="267">
        <v>1</v>
      </c>
      <c r="R63" s="267">
        <v>1</v>
      </c>
      <c r="S63" s="267">
        <v>1</v>
      </c>
      <c r="T63" s="267"/>
      <c r="U63" s="267"/>
      <c r="V63" s="267"/>
      <c r="W63" s="267">
        <v>1</v>
      </c>
      <c r="X63" s="267"/>
      <c r="Y63" s="267"/>
      <c r="Z63" s="267">
        <v>1</v>
      </c>
      <c r="AA63" s="267"/>
      <c r="AB63" s="267">
        <v>1</v>
      </c>
      <c r="AC63" s="267">
        <v>1</v>
      </c>
      <c r="AD63" s="267"/>
      <c r="AE63" s="267">
        <v>1</v>
      </c>
      <c r="AF63" s="267"/>
      <c r="AG63" s="267"/>
      <c r="AH63" s="267"/>
      <c r="AI63" s="267">
        <v>1</v>
      </c>
      <c r="AJ63" s="267"/>
      <c r="AK63" s="267"/>
      <c r="AL63" s="267">
        <v>1</v>
      </c>
      <c r="AM63" s="267">
        <v>1</v>
      </c>
      <c r="AN63" s="267">
        <v>1</v>
      </c>
      <c r="AO63" s="267">
        <v>1</v>
      </c>
    </row>
    <row r="64" spans="1:41" ht="12.75" customHeight="1">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c r="A65" s="14"/>
      <c r="B65" s="5" t="str">
        <f>CONCATENATE(C45,D45,E45,F45,G45,H45,I45,J45,K45,L45,M45,N45,O45,P45,Q45,R45,S45,T45,U45,V45,W45,X45,Y45,Z45,AA45,AB45,AC45,AD45,AE45,AF45,AG45,AH45,AI45,AJ45,AK45,AL45,AM45,AN45,AO45)</f>
        <v>AAAAABAARAASAATAAVAADAAEAAYAAZABAAAGCCCDDDEEE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c r="A67" s="14"/>
      <c r="B67" s="5" t="str">
        <f>MID($B$65,4,3)</f>
        <v>AAB</v>
      </c>
      <c r="C67" s="152" t="str">
        <f t="shared" ref="C67:C84" si="3">IFERROR((VLOOKUP(B67,$A$4:$B$48,2,FALSE))," ")</f>
        <v>Helmut Wulf</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Helmut Wulf</v>
      </c>
      <c r="AA67" s="5"/>
      <c r="AB67" s="5"/>
      <c r="AC67" s="5"/>
      <c r="AD67" s="5"/>
      <c r="AE67" s="5"/>
      <c r="AF67" s="5"/>
      <c r="AG67" s="5"/>
      <c r="AH67" s="5"/>
    </row>
    <row r="68" spans="1:34" ht="12.75" customHeight="1">
      <c r="A68" s="14"/>
      <c r="B68" s="5" t="str">
        <f>MID($B$65,7,3)</f>
        <v>AAR</v>
      </c>
      <c r="C68" s="152" t="str">
        <f t="shared" si="3"/>
        <v>Gloriel Summerbloom</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Gloriel Summerbloom</v>
      </c>
      <c r="AA68" s="5"/>
      <c r="AB68" s="5"/>
      <c r="AC68" s="5"/>
      <c r="AD68" s="5"/>
      <c r="AE68" s="5"/>
      <c r="AF68" s="5"/>
      <c r="AG68" s="5"/>
      <c r="AH68" s="5"/>
    </row>
    <row r="69" spans="1:34" ht="12.75" customHeight="1">
      <c r="A69" s="14"/>
      <c r="B69" s="5" t="str">
        <f>MID($B$65,10,3)</f>
        <v>AAS</v>
      </c>
      <c r="C69" s="152" t="str">
        <f t="shared" si="3"/>
        <v>Willow Rosebark</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Willow Rosebark</v>
      </c>
      <c r="AA69" s="5"/>
      <c r="AB69" s="5"/>
      <c r="AC69" s="5"/>
      <c r="AD69" s="5"/>
      <c r="AE69" s="5"/>
      <c r="AF69" s="5"/>
      <c r="AG69" s="5"/>
      <c r="AH69" s="5"/>
    </row>
    <row r="70" spans="1:34" ht="12.75" customHeight="1">
      <c r="A70" s="14"/>
      <c r="B70" s="5" t="str">
        <f>MID($B$65,13,3)</f>
        <v>AAT</v>
      </c>
      <c r="C70" s="152" t="str">
        <f t="shared" si="3"/>
        <v>Eldril Sidewinder</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Eldril Sidewinder</v>
      </c>
      <c r="AA70" s="5"/>
      <c r="AB70" s="5"/>
      <c r="AC70" s="5"/>
      <c r="AD70" s="5"/>
      <c r="AE70" s="5"/>
      <c r="AF70" s="5"/>
      <c r="AG70" s="5"/>
      <c r="AH70" s="5"/>
    </row>
    <row r="71" spans="1:34" ht="12.75" customHeight="1">
      <c r="A71" s="14"/>
      <c r="B71" s="5" t="str">
        <f>MID($B$65,16,3)</f>
        <v>AAV</v>
      </c>
      <c r="C71" s="152" t="str">
        <f t="shared" si="3"/>
        <v>Zolcath the Zoat</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Zolcath the Zoat</v>
      </c>
      <c r="AA71" s="5"/>
      <c r="AB71" s="5"/>
      <c r="AC71" s="5"/>
      <c r="AD71" s="5"/>
      <c r="AE71" s="5"/>
      <c r="AF71" s="5"/>
      <c r="AG71" s="5"/>
      <c r="AH71" s="5"/>
    </row>
    <row r="72" spans="1:34" ht="12.75" customHeight="1">
      <c r="A72" s="14"/>
      <c r="B72" s="5" t="str">
        <f>MID($B$65,19,3)</f>
        <v>AAD</v>
      </c>
      <c r="C72" s="152" t="str">
        <f t="shared" si="3"/>
        <v>Grak</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Grak</v>
      </c>
      <c r="AA72" s="5"/>
      <c r="AB72" s="5"/>
      <c r="AC72" s="5"/>
      <c r="AD72" s="5"/>
      <c r="AE72" s="5"/>
      <c r="AF72" s="5"/>
      <c r="AG72" s="5"/>
      <c r="AH72" s="5"/>
    </row>
    <row r="73" spans="1:34" ht="12.75" customHeight="1">
      <c r="A73" s="14"/>
      <c r="B73" s="5" t="str">
        <f>MID($B$65,22,3)</f>
        <v>AAE</v>
      </c>
      <c r="C73" s="152" t="str">
        <f t="shared" si="3"/>
        <v>Crumbleberry</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Crumbleberry</v>
      </c>
      <c r="AA73" s="5"/>
      <c r="AB73" s="5"/>
      <c r="AC73" s="5"/>
      <c r="AD73" s="5"/>
      <c r="AE73" s="5"/>
      <c r="AF73" s="5"/>
      <c r="AG73" s="5"/>
      <c r="AH73" s="5"/>
    </row>
    <row r="74" spans="1:34" ht="12.75" customHeight="1">
      <c r="A74" s="14"/>
      <c r="B74" s="5" t="str">
        <f>MID($B$65,25,3)</f>
        <v>AAY</v>
      </c>
      <c r="C74" s="152" t="str">
        <f t="shared" si="3"/>
        <v>Roxanna Darknail</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Roxanna Darknail</v>
      </c>
      <c r="AA74" s="5"/>
      <c r="AB74" s="5"/>
      <c r="AC74" s="5"/>
      <c r="AD74" s="5"/>
      <c r="AE74" s="5"/>
      <c r="AF74" s="5"/>
      <c r="AG74" s="5"/>
      <c r="AH74" s="5"/>
    </row>
    <row r="75" spans="1:34" ht="12.75" customHeight="1">
      <c r="A75" s="14"/>
      <c r="B75" s="5" t="str">
        <f>MID($B$65,28,3)</f>
        <v>AAZ</v>
      </c>
      <c r="C75" s="152" t="str">
        <f t="shared" si="3"/>
        <v>Lucien Swift</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Lucien Swift</v>
      </c>
      <c r="AA75" s="5"/>
      <c r="AB75" s="5"/>
      <c r="AC75" s="5"/>
      <c r="AD75" s="5"/>
      <c r="AE75" s="5"/>
      <c r="AF75" s="5"/>
      <c r="AG75" s="5"/>
      <c r="AH75" s="5"/>
    </row>
    <row r="76" spans="1:34" ht="12.75" customHeight="1">
      <c r="A76" s="14"/>
      <c r="B76" s="5" t="str">
        <f>MID($B$65,31,3)</f>
        <v>ABA</v>
      </c>
      <c r="C76" s="152" t="str">
        <f t="shared" si="3"/>
        <v>Valen Swift</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Valen Swift</v>
      </c>
      <c r="AA76" s="5"/>
      <c r="AB76" s="5"/>
      <c r="AC76" s="5"/>
      <c r="AD76" s="5"/>
      <c r="AE76" s="5"/>
      <c r="AF76" s="5"/>
      <c r="AG76" s="5"/>
      <c r="AH76" s="5"/>
    </row>
    <row r="77" spans="1:34" ht="12.75" customHeight="1">
      <c r="A77" s="14"/>
      <c r="B77" s="5" t="str">
        <f>MID($B$65,34,3)</f>
        <v>AAG</v>
      </c>
      <c r="C77" s="152" t="str">
        <f t="shared" si="3"/>
        <v>Morg 'n' Thorg</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Morg 'n' Thorg</v>
      </c>
      <c r="AA77" s="5"/>
      <c r="AB77" s="5"/>
      <c r="AC77" s="5"/>
      <c r="AD77" s="5"/>
      <c r="AE77" s="5"/>
      <c r="AF77" s="5"/>
      <c r="AG77" s="5"/>
      <c r="AH77" s="5"/>
    </row>
    <row r="78" spans="1:34" ht="12.75" customHeight="1">
      <c r="A78" s="14"/>
      <c r="B78" s="5" t="str">
        <f>MID($B$65,37,3)</f>
        <v>CCC</v>
      </c>
      <c r="C78" s="152" t="str">
        <f t="shared" si="3"/>
        <v>Mercenary 1</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Mercenary 1</v>
      </c>
      <c r="AA78" s="5"/>
      <c r="AB78" s="5"/>
      <c r="AC78" s="5"/>
      <c r="AD78" s="5"/>
      <c r="AE78" s="5"/>
      <c r="AF78" s="5"/>
      <c r="AG78" s="5"/>
      <c r="AH78" s="5"/>
    </row>
    <row r="79" spans="1:34" ht="12.75" customHeight="1">
      <c r="A79" s="14"/>
      <c r="B79" s="5" t="str">
        <f>MID($B$65,40,3)</f>
        <v>DDD</v>
      </c>
      <c r="C79" s="152" t="str">
        <f t="shared" si="3"/>
        <v>Mercenary 2</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Mercenary 2</v>
      </c>
      <c r="AA79" s="5"/>
      <c r="AB79" s="5"/>
      <c r="AC79" s="5"/>
      <c r="AD79" s="5"/>
      <c r="AE79" s="5"/>
      <c r="AF79" s="5"/>
      <c r="AG79" s="5"/>
      <c r="AH79" s="5"/>
    </row>
    <row r="80" spans="1:34" ht="12.75" customHeight="1">
      <c r="A80" s="14"/>
      <c r="B80" s="5" t="str">
        <f>MID($B$65,43,3)</f>
        <v>EEE</v>
      </c>
      <c r="C80" s="152" t="str">
        <f t="shared" si="3"/>
        <v>Mercenary 3</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Mercenary 3</v>
      </c>
      <c r="AA80" s="5"/>
      <c r="AB80" s="5"/>
      <c r="AC80" s="5"/>
      <c r="AD80" s="5"/>
      <c r="AE80" s="5"/>
      <c r="AF80" s="5"/>
      <c r="AG80" s="5"/>
      <c r="AH80" s="5"/>
    </row>
    <row r="81" spans="1:34" ht="12.75" customHeight="1">
      <c r="A81" s="14"/>
      <c r="B81" s="5" t="str">
        <f>MID($B$65,46,3)</f>
        <v/>
      </c>
      <c r="C81" s="152" t="str">
        <f t="shared" si="3"/>
        <v xml:space="preserve"> </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 xml:space="preserve"> </v>
      </c>
      <c r="AA81" s="5"/>
      <c r="AB81" s="5"/>
      <c r="AC81" s="5"/>
      <c r="AD81" s="5"/>
      <c r="AE81" s="5"/>
      <c r="AF81" s="5"/>
      <c r="AG81" s="5"/>
      <c r="AH81" s="5"/>
    </row>
    <row r="82" spans="1:34" ht="12.75" customHeight="1">
      <c r="A82" s="14"/>
      <c r="B82" s="5" t="str">
        <f>MID($B$65,49,3)</f>
        <v/>
      </c>
      <c r="C82" s="152" t="str">
        <f t="shared" si="3"/>
        <v xml:space="preserve"> </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 xml:space="preserve"> </v>
      </c>
      <c r="AA82" s="5"/>
      <c r="AB82" s="5"/>
      <c r="AC82" s="5"/>
      <c r="AD82" s="5"/>
      <c r="AE82" s="5"/>
      <c r="AF82" s="5"/>
      <c r="AG82" s="5"/>
      <c r="AH82" s="5"/>
    </row>
    <row r="83" spans="1:34" ht="12.75" customHeight="1">
      <c r="A83" s="14"/>
      <c r="B83" s="5" t="str">
        <f>MID($B$65,52,3)</f>
        <v/>
      </c>
      <c r="C83" s="152" t="str">
        <f t="shared" si="3"/>
        <v xml:space="preserve"> </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 xml:space="preserve"> </v>
      </c>
      <c r="AA83" s="5"/>
      <c r="AB83" s="5"/>
      <c r="AC83" s="5"/>
      <c r="AD83" s="5"/>
      <c r="AE83" s="5"/>
      <c r="AF83" s="5"/>
      <c r="AG83" s="5"/>
      <c r="AH83" s="5"/>
    </row>
    <row r="84" spans="1:34" ht="12.75" customHeight="1">
      <c r="A84" s="14"/>
      <c r="B84" s="5" t="str">
        <f>MID($B$65,55,3)</f>
        <v/>
      </c>
      <c r="C84" s="152" t="str">
        <f t="shared" si="3"/>
        <v xml:space="preserve"> </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 xml:space="preserve"> </v>
      </c>
      <c r="AA84" s="5"/>
      <c r="AB84" s="5"/>
      <c r="AC84" s="5"/>
      <c r="AD84" s="5"/>
      <c r="AE84" s="5"/>
      <c r="AF84" s="5"/>
      <c r="AG84" s="5"/>
      <c r="AH84" s="5"/>
    </row>
    <row r="85" spans="1:34" ht="12.75" customHeight="1">
      <c r="A85" s="14"/>
      <c r="B85" s="267" t="str">
        <f>MID($B$65,58,3)</f>
        <v/>
      </c>
      <c r="C85" s="267" t="str">
        <f t="shared" ref="C85" si="21">IFERROR((VLOOKUP(B85,$A$4:$B$47,2,FALSE))," ")</f>
        <v xml:space="preserve"> </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 xml:space="preserve"> </v>
      </c>
      <c r="AA85" s="5"/>
      <c r="AB85" s="5"/>
      <c r="AC85" s="5"/>
      <c r="AD85" s="5"/>
      <c r="AE85" s="5"/>
      <c r="AF85" s="5"/>
      <c r="AG85" s="5"/>
      <c r="AH85" s="5"/>
    </row>
    <row r="86" spans="1:34" ht="12.75" customHeight="1">
      <c r="A86" s="14"/>
      <c r="B86" s="267" t="str">
        <f>MID($B$65,61,3)</f>
        <v/>
      </c>
      <c r="C86" s="267" t="str">
        <f>IFERROR((VLOOKUP(B86,$A$4:$B$47,2,FALSE))," ")</f>
        <v xml:space="preserve"> </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c r="A87" s="14"/>
      <c r="B87" s="267" t="str">
        <f>MID($B$65,64,3)</f>
        <v/>
      </c>
      <c r="C87" s="267" t="str">
        <f>IFERROR((VLOOKUP(B87,$A$4:$B$47,2,FALSE))," ")</f>
        <v xml:space="preserve"> </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c r="A88" s="14"/>
      <c r="B88" s="267" t="str">
        <f>MID($B$65,67,3)</f>
        <v/>
      </c>
      <c r="C88" s="267"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4"/>
      <c r="B89" s="267" t="str">
        <f>MID($B$65,70,3)</f>
        <v/>
      </c>
      <c r="C89" s="267"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4"/>
      <c r="B90" s="267" t="str">
        <f>MID($B$65,73,3)</f>
        <v/>
      </c>
      <c r="C90" s="267"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4"/>
      <c r="B91" s="267" t="s">
        <v>1190</v>
      </c>
      <c r="C91" s="26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c r="A106" s="14"/>
      <c r="B106" s="165"/>
      <c r="C106" s="160"/>
      <c r="D106" s="160"/>
      <c r="E106" s="160"/>
      <c r="F106" s="166"/>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c r="A107" s="14"/>
      <c r="B107" s="165"/>
      <c r="C107" s="160"/>
      <c r="D107" s="160"/>
      <c r="E107" s="160"/>
      <c r="F107" s="166"/>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c r="A108" s="14"/>
      <c r="B108" s="165"/>
      <c r="C108" s="160"/>
      <c r="D108" s="160"/>
      <c r="E108" s="160"/>
      <c r="F108" s="166"/>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c r="A109" s="14"/>
      <c r="B109" s="165"/>
      <c r="C109" s="160"/>
      <c r="D109" s="160"/>
      <c r="E109" s="160"/>
      <c r="F109" s="166"/>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c r="A110" s="14"/>
      <c r="B110" s="165"/>
      <c r="C110" s="160"/>
      <c r="D110" s="160"/>
      <c r="E110" s="160"/>
      <c r="F110" s="166"/>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c r="A111" s="14"/>
      <c r="B111" s="165"/>
      <c r="C111" s="160"/>
      <c r="D111" s="160"/>
      <c r="E111" s="160"/>
      <c r="F111" s="166"/>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c r="A112" s="14"/>
      <c r="B112" s="165"/>
      <c r="C112" s="160"/>
      <c r="D112" s="160"/>
      <c r="E112" s="160"/>
      <c r="F112" s="166"/>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c r="A113" s="14"/>
      <c r="B113" s="165"/>
      <c r="C113" s="160"/>
      <c r="D113" s="160"/>
      <c r="E113" s="160"/>
      <c r="F113" s="166"/>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c r="A114" s="14"/>
      <c r="B114" s="165"/>
      <c r="C114" s="160"/>
      <c r="D114" s="160"/>
      <c r="E114" s="160"/>
      <c r="F114" s="166"/>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c r="A115" s="14"/>
      <c r="B115" s="165"/>
      <c r="C115" s="160"/>
      <c r="D115" s="160"/>
      <c r="E115" s="160"/>
      <c r="F115" s="166"/>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c r="A116" s="14"/>
      <c r="B116" s="165"/>
      <c r="C116" s="160"/>
      <c r="D116" s="160"/>
      <c r="E116" s="160"/>
      <c r="F116" s="166"/>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c r="A117" s="14"/>
      <c r="B117" s="165"/>
      <c r="C117" s="160"/>
      <c r="D117" s="160"/>
      <c r="E117" s="160"/>
      <c r="F117" s="166"/>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c r="A118" s="14"/>
      <c r="B118" s="165"/>
      <c r="C118" s="160"/>
      <c r="D118" s="160"/>
      <c r="E118" s="160"/>
      <c r="F118" s="166"/>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c r="A119" s="14"/>
      <c r="B119" s="165"/>
      <c r="C119" s="160"/>
      <c r="D119" s="160"/>
      <c r="E119" s="160"/>
      <c r="F119" s="166"/>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c r="A120" s="14"/>
      <c r="B120" s="165"/>
      <c r="C120" s="160"/>
      <c r="D120" s="160"/>
      <c r="E120" s="160"/>
      <c r="F120" s="166"/>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c r="A121" s="14"/>
      <c r="B121" s="165"/>
      <c r="C121" s="160"/>
      <c r="D121" s="160"/>
      <c r="E121" s="160"/>
      <c r="F121" s="166"/>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c r="A122" s="14"/>
      <c r="B122" s="165"/>
      <c r="C122" s="160"/>
      <c r="D122" s="160"/>
      <c r="E122" s="160"/>
      <c r="F122" s="166"/>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c r="A123" s="14"/>
      <c r="B123" s="165"/>
      <c r="C123" s="160"/>
      <c r="D123" s="160"/>
      <c r="E123" s="160"/>
      <c r="F123" s="166"/>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c r="A124" s="14"/>
      <c r="B124" s="165"/>
      <c r="C124" s="160"/>
      <c r="D124" s="160"/>
      <c r="E124" s="160"/>
      <c r="F124" s="166"/>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c r="A125" s="14"/>
      <c r="B125" s="165"/>
      <c r="C125" s="160"/>
      <c r="D125" s="160"/>
      <c r="E125" s="160"/>
      <c r="F125" s="166"/>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c r="A126" s="14"/>
      <c r="B126" s="165"/>
      <c r="C126" s="160"/>
      <c r="D126" s="160"/>
      <c r="E126" s="160"/>
      <c r="F126" s="166"/>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c r="A127" s="14"/>
      <c r="B127" s="165"/>
      <c r="C127" s="160"/>
      <c r="D127" s="160"/>
      <c r="E127" s="160"/>
      <c r="F127" s="166"/>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c r="A128" s="14"/>
      <c r="B128" s="165"/>
      <c r="C128" s="160"/>
      <c r="D128" s="160"/>
      <c r="E128" s="160"/>
      <c r="F128" s="166"/>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c r="A129" s="14"/>
      <c r="B129" s="165"/>
      <c r="C129" s="160"/>
      <c r="D129" s="160"/>
      <c r="E129" s="160"/>
      <c r="F129" s="166"/>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c r="A130" s="14"/>
      <c r="B130" s="165"/>
      <c r="C130" s="160"/>
      <c r="D130" s="160"/>
      <c r="E130" s="160"/>
      <c r="F130" s="166"/>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c r="A131" s="14"/>
      <c r="B131" s="165"/>
      <c r="C131" s="160"/>
      <c r="D131" s="160"/>
      <c r="E131" s="160"/>
      <c r="F131" s="166"/>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c r="A132" s="14"/>
      <c r="B132" s="165"/>
      <c r="C132" s="160"/>
      <c r="D132" s="160"/>
      <c r="E132" s="160"/>
      <c r="F132" s="166"/>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c r="A133" s="14"/>
      <c r="B133" s="165"/>
      <c r="C133" s="160"/>
      <c r="D133" s="160"/>
      <c r="E133" s="160"/>
      <c r="F133" s="166"/>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c r="A134" s="14"/>
      <c r="B134" s="165"/>
      <c r="C134" s="160"/>
      <c r="D134" s="160"/>
      <c r="E134" s="160"/>
      <c r="F134" s="166"/>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c r="A135" s="14"/>
      <c r="B135" s="165"/>
      <c r="C135" s="160"/>
      <c r="D135" s="160"/>
      <c r="E135" s="160"/>
      <c r="F135" s="166"/>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Utente Windows</cp:lastModifiedBy>
  <cp:lastPrinted>2021-12-10T10:18:31Z</cp:lastPrinted>
  <dcterms:created xsi:type="dcterms:W3CDTF">2018-07-19T14:07:05Z</dcterms:created>
  <dcterms:modified xsi:type="dcterms:W3CDTF">2022-04-12T10:44:56Z</dcterms:modified>
</cp:coreProperties>
</file>